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an\Documents\STAR PIPE Nordic\Beregningsfiler\Master 2017\"/>
    </mc:Choice>
  </mc:AlternateContent>
  <bookViews>
    <workbookView xWindow="0" yWindow="0" windowWidth="15360" windowHeight="7755"/>
  </bookViews>
  <sheets>
    <sheet name="Beregningsark" sheetId="2" r:id="rId1"/>
    <sheet name="Dimensionsoversigt" sheetId="3" r:id="rId2"/>
  </sheets>
  <definedNames>
    <definedName name="Dimensioner">Dimensionsoversigt!$A$6:$A$37</definedName>
    <definedName name="_xlnm.Print_Area" localSheetId="0">Beregningsark!$A$1:$AF$47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47" i="2" l="1"/>
  <c r="N47" i="2"/>
  <c r="M47" i="2"/>
  <c r="AF35" i="2" l="1"/>
  <c r="AF50" i="2" l="1"/>
  <c r="AF49" i="2"/>
  <c r="AF48" i="2" l="1"/>
  <c r="AF47" i="2"/>
  <c r="AF46" i="2"/>
  <c r="AF45" i="2"/>
  <c r="AF44" i="2"/>
  <c r="AF43" i="2"/>
  <c r="AF51" i="2" s="1"/>
  <c r="AF52" i="2" s="1"/>
  <c r="AF42" i="2"/>
  <c r="AF41" i="2"/>
  <c r="AF40" i="2"/>
  <c r="Y40" i="2"/>
  <c r="Y41" i="2"/>
  <c r="Y42" i="2"/>
  <c r="Y43" i="2"/>
  <c r="Y44" i="2"/>
  <c r="Y45" i="2"/>
  <c r="Y49" i="2" l="1"/>
  <c r="Y50" i="2" s="1"/>
  <c r="M45" i="2" s="1"/>
  <c r="N45" i="2" s="1"/>
  <c r="O45" i="2" s="1"/>
  <c r="AE14" i="2"/>
  <c r="C36" i="2" l="1"/>
  <c r="E14" i="2"/>
  <c r="E15" i="2" s="1"/>
  <c r="E16" i="2" s="1"/>
  <c r="E17" i="2" s="1"/>
  <c r="E18" i="2" s="1"/>
  <c r="E19" i="2" s="1"/>
  <c r="E20" i="2" s="1"/>
  <c r="E21" i="2" s="1"/>
  <c r="E22" i="2" s="1"/>
  <c r="E23" i="2" s="1"/>
  <c r="E24" i="2" s="1"/>
  <c r="E25" i="2" s="1"/>
  <c r="E26" i="2" s="1"/>
  <c r="E27" i="2" s="1"/>
  <c r="E28" i="2" s="1"/>
  <c r="E29" i="2" s="1"/>
  <c r="E30" i="2" s="1"/>
  <c r="Y47" i="2" l="1"/>
  <c r="Y48" i="2"/>
  <c r="Y46" i="2"/>
  <c r="F40" i="2" l="1"/>
  <c r="J11" i="3"/>
  <c r="J9" i="3"/>
  <c r="M11" i="3"/>
  <c r="M9" i="3"/>
  <c r="M7" i="3"/>
  <c r="J7" i="3"/>
  <c r="J13" i="3"/>
  <c r="M13" i="3"/>
  <c r="P7" i="3"/>
  <c r="P9" i="3"/>
  <c r="P11" i="3"/>
  <c r="P13" i="3"/>
  <c r="BG7" i="2"/>
  <c r="BE14" i="2"/>
  <c r="BD14" i="2"/>
  <c r="BC14" i="2"/>
  <c r="BB14" i="2"/>
  <c r="BA14" i="2"/>
  <c r="AZ14" i="2"/>
  <c r="AY14" i="2"/>
  <c r="AX14" i="2"/>
  <c r="AW14" i="2"/>
  <c r="AV14" i="2"/>
  <c r="AU14" i="2"/>
  <c r="AT14" i="2"/>
  <c r="BJ14" i="2" l="1"/>
  <c r="BL14" i="2"/>
  <c r="BH14" i="2"/>
  <c r="AU15" i="2" l="1"/>
  <c r="AY15" i="2"/>
  <c r="BJ15" i="2" s="1"/>
  <c r="BC15" i="2"/>
  <c r="AV15" i="2"/>
  <c r="BH15" i="2" s="1"/>
  <c r="AZ15" i="2"/>
  <c r="BD15" i="2"/>
  <c r="AW15" i="2"/>
  <c r="BA15" i="2"/>
  <c r="BE15" i="2"/>
  <c r="AT15" i="2"/>
  <c r="AX15" i="2"/>
  <c r="BB15" i="2"/>
  <c r="BL15" i="2" s="1"/>
  <c r="AO15" i="2"/>
  <c r="AP15" i="2"/>
  <c r="AQ15" i="2"/>
  <c r="AR15" i="2"/>
  <c r="AS15" i="2"/>
  <c r="AO16" i="2"/>
  <c r="AP16" i="2"/>
  <c r="AQ16" i="2"/>
  <c r="AR16" i="2"/>
  <c r="AS16" i="2"/>
  <c r="AS14" i="2"/>
  <c r="AR14" i="2"/>
  <c r="AQ14" i="2"/>
  <c r="AP14" i="2"/>
  <c r="AO14" i="2"/>
  <c r="AU16" i="2" l="1"/>
  <c r="AY16" i="2"/>
  <c r="BJ16" i="2" s="1"/>
  <c r="BC16" i="2"/>
  <c r="AV16" i="2"/>
  <c r="BH16" i="2" s="1"/>
  <c r="AZ16" i="2"/>
  <c r="BD16" i="2"/>
  <c r="AW16" i="2"/>
  <c r="BA16" i="2"/>
  <c r="BE16" i="2"/>
  <c r="AX16" i="2"/>
  <c r="BB16" i="2"/>
  <c r="BL16" i="2" s="1"/>
  <c r="AT16" i="2"/>
  <c r="AU17" i="2" l="1"/>
  <c r="AY17" i="2"/>
  <c r="BJ17" i="2" s="1"/>
  <c r="BC17" i="2"/>
  <c r="AV17" i="2"/>
  <c r="BH17" i="2" s="1"/>
  <c r="AZ17" i="2"/>
  <c r="BD17" i="2"/>
  <c r="AW17" i="2"/>
  <c r="BA17" i="2"/>
  <c r="BE17" i="2"/>
  <c r="BB17" i="2"/>
  <c r="BL17" i="2" s="1"/>
  <c r="AX17" i="2"/>
  <c r="AT17" i="2"/>
  <c r="AP17" i="2"/>
  <c r="AQ17" i="2"/>
  <c r="AR17" i="2"/>
  <c r="AO17" i="2"/>
  <c r="AS17" i="2"/>
  <c r="AU18" i="2" l="1"/>
  <c r="AY18" i="2"/>
  <c r="BJ18" i="2" s="1"/>
  <c r="BC18" i="2"/>
  <c r="AV18" i="2"/>
  <c r="BH18" i="2" s="1"/>
  <c r="AZ18" i="2"/>
  <c r="BD18" i="2"/>
  <c r="AW18" i="2"/>
  <c r="BA18" i="2"/>
  <c r="BE18" i="2"/>
  <c r="AT18" i="2"/>
  <c r="AX18" i="2"/>
  <c r="BB18" i="2"/>
  <c r="BL18" i="2" s="1"/>
  <c r="AO18" i="2"/>
  <c r="AS18" i="2"/>
  <c r="AR18" i="2"/>
  <c r="AP18" i="2"/>
  <c r="AQ18" i="2"/>
  <c r="J14" i="2"/>
  <c r="M14" i="2"/>
  <c r="M15" i="2" s="1"/>
  <c r="N14" i="2"/>
  <c r="N15" i="2" s="1"/>
  <c r="O14" i="2"/>
  <c r="O15" i="2" s="1"/>
  <c r="P14" i="2"/>
  <c r="W14" i="2"/>
  <c r="AA14" i="2"/>
  <c r="AH14" i="2"/>
  <c r="AI14" i="2"/>
  <c r="W15" i="2"/>
  <c r="AA15" i="2"/>
  <c r="AH15" i="2"/>
  <c r="AI15" i="2"/>
  <c r="AU19" i="2" l="1"/>
  <c r="AY19" i="2"/>
  <c r="BJ19" i="2" s="1"/>
  <c r="BC19" i="2"/>
  <c r="AV19" i="2"/>
  <c r="BH19" i="2" s="1"/>
  <c r="AZ19" i="2"/>
  <c r="BD19" i="2"/>
  <c r="AW19" i="2"/>
  <c r="BA19" i="2"/>
  <c r="BE19" i="2"/>
  <c r="AT19" i="2"/>
  <c r="AX19" i="2"/>
  <c r="BB19" i="2"/>
  <c r="BL19" i="2" s="1"/>
  <c r="AR19" i="2"/>
  <c r="AO19" i="2"/>
  <c r="AS19" i="2"/>
  <c r="AP19" i="2"/>
  <c r="AQ19" i="2"/>
  <c r="K15" i="2"/>
  <c r="R15" i="2" s="1"/>
  <c r="L14" i="2"/>
  <c r="S14" i="2" s="1"/>
  <c r="Q14" i="2"/>
  <c r="J15" i="2"/>
  <c r="K14" i="2"/>
  <c r="R14" i="2" s="1"/>
  <c r="P15" i="2"/>
  <c r="AA19" i="2" l="1"/>
  <c r="AI19" i="2"/>
  <c r="W19" i="2"/>
  <c r="AH19" i="2"/>
  <c r="AU20" i="2"/>
  <c r="AY20" i="2"/>
  <c r="BJ20" i="2" s="1"/>
  <c r="BC20" i="2"/>
  <c r="AV20" i="2"/>
  <c r="BH20" i="2" s="1"/>
  <c r="AZ20" i="2"/>
  <c r="BD20" i="2"/>
  <c r="AW20" i="2"/>
  <c r="BA20" i="2"/>
  <c r="BE20" i="2"/>
  <c r="AX20" i="2"/>
  <c r="BB20" i="2"/>
  <c r="BL20" i="2" s="1"/>
  <c r="AT20" i="2"/>
  <c r="AQ20" i="2"/>
  <c r="AP20" i="2"/>
  <c r="W20" i="2" s="1"/>
  <c r="AR20" i="2"/>
  <c r="AO20" i="2"/>
  <c r="AS20" i="2"/>
  <c r="Q15" i="2"/>
  <c r="L15" i="2"/>
  <c r="S15" i="2" s="1"/>
  <c r="AH16" i="2"/>
  <c r="AI16" i="2"/>
  <c r="AH17" i="2"/>
  <c r="AI17" i="2"/>
  <c r="AH18" i="2"/>
  <c r="AI18" i="2"/>
  <c r="W16" i="2"/>
  <c r="AA16" i="2"/>
  <c r="W17" i="2"/>
  <c r="AA17" i="2"/>
  <c r="W18" i="2"/>
  <c r="AA18" i="2"/>
  <c r="AH20" i="2" l="1"/>
  <c r="AI20" i="2"/>
  <c r="AA20" i="2"/>
  <c r="V22" i="2"/>
  <c r="AU21" i="2"/>
  <c r="AY21" i="2"/>
  <c r="BJ21" i="2" s="1"/>
  <c r="BC21" i="2"/>
  <c r="AV21" i="2"/>
  <c r="BH21" i="2" s="1"/>
  <c r="AZ21" i="2"/>
  <c r="BD21" i="2"/>
  <c r="AW21" i="2"/>
  <c r="BA21" i="2"/>
  <c r="BE21" i="2"/>
  <c r="BB21" i="2"/>
  <c r="BL21" i="2" s="1"/>
  <c r="AT21" i="2"/>
  <c r="AX21" i="2"/>
  <c r="AP21" i="2"/>
  <c r="AQ21" i="2"/>
  <c r="AR21" i="2"/>
  <c r="AO21" i="2"/>
  <c r="AS21" i="2"/>
  <c r="M16" i="2"/>
  <c r="M17" i="2" s="1"/>
  <c r="M18" i="2" s="1"/>
  <c r="AH21" i="2" l="1"/>
  <c r="W21" i="2"/>
  <c r="AU22" i="2"/>
  <c r="AY22" i="2"/>
  <c r="BJ22" i="2" s="1"/>
  <c r="BC22" i="2"/>
  <c r="AV22" i="2"/>
  <c r="BH22" i="2" s="1"/>
  <c r="AZ22" i="2"/>
  <c r="BD22" i="2"/>
  <c r="AW22" i="2"/>
  <c r="BA22" i="2"/>
  <c r="BE22" i="2"/>
  <c r="AT22" i="2"/>
  <c r="BB22" i="2"/>
  <c r="BL22" i="2" s="1"/>
  <c r="AX22" i="2"/>
  <c r="AO22" i="2"/>
  <c r="AS22" i="2"/>
  <c r="AR22" i="2"/>
  <c r="AP22" i="2"/>
  <c r="AQ22" i="2"/>
  <c r="AA21" i="2"/>
  <c r="AI21" i="2"/>
  <c r="M19" i="2"/>
  <c r="M20" i="2" s="1"/>
  <c r="M21" i="2" s="1"/>
  <c r="M22" i="2" s="1"/>
  <c r="M23" i="2" s="1"/>
  <c r="M24" i="2" s="1"/>
  <c r="N16" i="2"/>
  <c r="P16" i="2"/>
  <c r="O16" i="2"/>
  <c r="AD9" i="2"/>
  <c r="AD8" i="2"/>
  <c r="AD7" i="2"/>
  <c r="M25" i="2" l="1"/>
  <c r="M26" i="2" s="1"/>
  <c r="M27" i="2" s="1"/>
  <c r="M28" i="2" s="1"/>
  <c r="M29" i="2" s="1"/>
  <c r="M30" i="2" s="1"/>
  <c r="M31" i="2" s="1"/>
  <c r="M32" i="2" s="1"/>
  <c r="M33" i="2" s="1"/>
  <c r="M34" i="2" s="1"/>
  <c r="W22" i="2"/>
  <c r="AH22" i="2"/>
  <c r="AU23" i="2"/>
  <c r="AY23" i="2"/>
  <c r="BJ23" i="2" s="1"/>
  <c r="BC23" i="2"/>
  <c r="AV23" i="2"/>
  <c r="BH23" i="2" s="1"/>
  <c r="AZ23" i="2"/>
  <c r="BD23" i="2"/>
  <c r="AW23" i="2"/>
  <c r="BA23" i="2"/>
  <c r="BE23" i="2"/>
  <c r="BB23" i="2"/>
  <c r="BL23" i="2" s="1"/>
  <c r="AT23" i="2"/>
  <c r="AX23" i="2"/>
  <c r="AR23" i="2"/>
  <c r="AO23" i="2"/>
  <c r="AS23" i="2"/>
  <c r="AP23" i="2"/>
  <c r="AQ23" i="2"/>
  <c r="AA22" i="2"/>
  <c r="AI22" i="2"/>
  <c r="T14" i="2"/>
  <c r="T15" i="2"/>
  <c r="O17" i="2"/>
  <c r="P17" i="2"/>
  <c r="N17" i="2"/>
  <c r="AH23" i="2" l="1"/>
  <c r="W23" i="2"/>
  <c r="V25" i="2"/>
  <c r="V26" i="2" s="1"/>
  <c r="V27" i="2" s="1"/>
  <c r="AU24" i="2"/>
  <c r="AY24" i="2"/>
  <c r="BJ24" i="2" s="1"/>
  <c r="BC24" i="2"/>
  <c r="AV24" i="2"/>
  <c r="BH24" i="2" s="1"/>
  <c r="AZ24" i="2"/>
  <c r="BD24" i="2"/>
  <c r="AW24" i="2"/>
  <c r="BA24" i="2"/>
  <c r="BE24" i="2"/>
  <c r="AT24" i="2"/>
  <c r="BB24" i="2"/>
  <c r="BL24" i="2" s="1"/>
  <c r="AX24" i="2"/>
  <c r="AQ24" i="2"/>
  <c r="AR24" i="2"/>
  <c r="AP24" i="2"/>
  <c r="AO24" i="2"/>
  <c r="AS24" i="2"/>
  <c r="AI23" i="2"/>
  <c r="AA23" i="2"/>
  <c r="X15" i="2"/>
  <c r="AN15" i="2" s="1"/>
  <c r="AB15" i="2"/>
  <c r="X14" i="2"/>
  <c r="AN14" i="2" s="1"/>
  <c r="AB14" i="2"/>
  <c r="N18" i="2"/>
  <c r="N19" i="2" s="1"/>
  <c r="P18" i="2"/>
  <c r="P19" i="2" s="1"/>
  <c r="O18" i="2"/>
  <c r="O19" i="2" s="1"/>
  <c r="AU25" i="2" l="1"/>
  <c r="AY25" i="2"/>
  <c r="BJ25" i="2" s="1"/>
  <c r="BC25" i="2"/>
  <c r="AV25" i="2"/>
  <c r="BH25" i="2" s="1"/>
  <c r="AZ25" i="2"/>
  <c r="BD25" i="2"/>
  <c r="AW25" i="2"/>
  <c r="BA25" i="2"/>
  <c r="BE25" i="2"/>
  <c r="AT25" i="2"/>
  <c r="AX25" i="2"/>
  <c r="BB25" i="2"/>
  <c r="BL25" i="2" s="1"/>
  <c r="AP25" i="2"/>
  <c r="AO25" i="2"/>
  <c r="AQ25" i="2"/>
  <c r="AR25" i="2"/>
  <c r="AS25" i="2"/>
  <c r="W24" i="2"/>
  <c r="AH24" i="2"/>
  <c r="AA24" i="2"/>
  <c r="AI24" i="2"/>
  <c r="AK14" i="2"/>
  <c r="AM14" i="2" s="1"/>
  <c r="AC14" i="2" s="1"/>
  <c r="AD14" i="2" s="1"/>
  <c r="AJ14" i="2"/>
  <c r="AL14" i="2" s="1"/>
  <c r="Y14" i="2" s="1"/>
  <c r="Z14" i="2" s="1"/>
  <c r="AK15" i="2"/>
  <c r="AM15" i="2" s="1"/>
  <c r="AC15" i="2" s="1"/>
  <c r="AD15" i="2" s="1"/>
  <c r="AJ15" i="2"/>
  <c r="AL15" i="2" s="1"/>
  <c r="Y15" i="2" s="1"/>
  <c r="Z15" i="2" s="1"/>
  <c r="K16" i="2"/>
  <c r="R16" i="2" s="1"/>
  <c r="L16" i="2"/>
  <c r="S16" i="2" s="1"/>
  <c r="J16" i="2"/>
  <c r="Q16" i="2" s="1"/>
  <c r="AE15" i="2" l="1"/>
  <c r="AE16" i="2" s="1"/>
  <c r="AH25" i="2"/>
  <c r="W25" i="2"/>
  <c r="AI25" i="2"/>
  <c r="AA25" i="2"/>
  <c r="AU26" i="2"/>
  <c r="AY26" i="2"/>
  <c r="BJ26" i="2" s="1"/>
  <c r="BC26" i="2"/>
  <c r="AV26" i="2"/>
  <c r="BH26" i="2" s="1"/>
  <c r="AZ26" i="2"/>
  <c r="BD26" i="2"/>
  <c r="AW26" i="2"/>
  <c r="BA26" i="2"/>
  <c r="BE26" i="2"/>
  <c r="AX26" i="2"/>
  <c r="BB26" i="2"/>
  <c r="BL26" i="2" s="1"/>
  <c r="AT26" i="2"/>
  <c r="AO26" i="2"/>
  <c r="AS26" i="2"/>
  <c r="AP26" i="2"/>
  <c r="AR26" i="2"/>
  <c r="AQ26" i="2"/>
  <c r="T16" i="2"/>
  <c r="O20" i="2"/>
  <c r="N20" i="2"/>
  <c r="J17" i="2"/>
  <c r="Q17" i="2" s="1"/>
  <c r="K17" i="2"/>
  <c r="R17" i="2" s="1"/>
  <c r="L17" i="2"/>
  <c r="S17" i="2" s="1"/>
  <c r="P20" i="2"/>
  <c r="AH26" i="2" l="1"/>
  <c r="W26" i="2"/>
  <c r="AI26" i="2"/>
  <c r="AA26" i="2"/>
  <c r="V28" i="2"/>
  <c r="AU27" i="2"/>
  <c r="AY27" i="2"/>
  <c r="BJ27" i="2" s="1"/>
  <c r="BC27" i="2"/>
  <c r="AV27" i="2"/>
  <c r="BH27" i="2" s="1"/>
  <c r="AZ27" i="2"/>
  <c r="BD27" i="2"/>
  <c r="AW27" i="2"/>
  <c r="BA27" i="2"/>
  <c r="BE27" i="2"/>
  <c r="BB27" i="2"/>
  <c r="BL27" i="2" s="1"/>
  <c r="AX27" i="2"/>
  <c r="AT27" i="2"/>
  <c r="AR27" i="2"/>
  <c r="AQ27" i="2"/>
  <c r="AO27" i="2"/>
  <c r="AS27" i="2"/>
  <c r="AP27" i="2"/>
  <c r="J19" i="2"/>
  <c r="Q19" i="2" s="1"/>
  <c r="L19" i="2"/>
  <c r="S19" i="2" s="1"/>
  <c r="K19" i="2"/>
  <c r="R19" i="2" s="1"/>
  <c r="X16" i="2"/>
  <c r="AN16" i="2" s="1"/>
  <c r="AB16" i="2"/>
  <c r="N21" i="2"/>
  <c r="T17" i="2"/>
  <c r="P21" i="2"/>
  <c r="K18" i="2"/>
  <c r="R18" i="2" s="1"/>
  <c r="L18" i="2"/>
  <c r="S18" i="2" s="1"/>
  <c r="J18" i="2"/>
  <c r="Q18" i="2" s="1"/>
  <c r="O21" i="2"/>
  <c r="AH27" i="2" l="1"/>
  <c r="W27" i="2"/>
  <c r="AI27" i="2"/>
  <c r="AA27" i="2"/>
  <c r="V29" i="2"/>
  <c r="AU28" i="2"/>
  <c r="AY28" i="2"/>
  <c r="BJ28" i="2" s="1"/>
  <c r="BC28" i="2"/>
  <c r="AV28" i="2"/>
  <c r="BH28" i="2" s="1"/>
  <c r="AZ28" i="2"/>
  <c r="BD28" i="2"/>
  <c r="AW28" i="2"/>
  <c r="BA28" i="2"/>
  <c r="BE28" i="2"/>
  <c r="AT28" i="2"/>
  <c r="AX28" i="2"/>
  <c r="BB28" i="2"/>
  <c r="BL28" i="2" s="1"/>
  <c r="AQ28" i="2"/>
  <c r="AR28" i="2"/>
  <c r="AO28" i="2"/>
  <c r="AS28" i="2"/>
  <c r="AP28" i="2"/>
  <c r="T19" i="2"/>
  <c r="AJ16" i="2"/>
  <c r="AL16" i="2" s="1"/>
  <c r="AB17" i="2"/>
  <c r="X17" i="2"/>
  <c r="AN17" i="2" s="1"/>
  <c r="AK16" i="2"/>
  <c r="AM16" i="2" s="1"/>
  <c r="P22" i="2"/>
  <c r="O22" i="2"/>
  <c r="T18" i="2"/>
  <c r="N22" i="2"/>
  <c r="AI28" i="2" l="1"/>
  <c r="AA28" i="2"/>
  <c r="AH28" i="2"/>
  <c r="W28" i="2"/>
  <c r="V30" i="2"/>
  <c r="AU29" i="2"/>
  <c r="AY29" i="2"/>
  <c r="BJ29" i="2" s="1"/>
  <c r="BC29" i="2"/>
  <c r="AV29" i="2"/>
  <c r="BH29" i="2" s="1"/>
  <c r="AZ29" i="2"/>
  <c r="BD29" i="2"/>
  <c r="AW29" i="2"/>
  <c r="BA29" i="2"/>
  <c r="BE29" i="2"/>
  <c r="AT29" i="2"/>
  <c r="AX29" i="2"/>
  <c r="BB29" i="2"/>
  <c r="BL29" i="2" s="1"/>
  <c r="AP29" i="2"/>
  <c r="AS29" i="2"/>
  <c r="AQ29" i="2"/>
  <c r="AO29" i="2"/>
  <c r="AR29" i="2"/>
  <c r="X19" i="2"/>
  <c r="AN19" i="2" s="1"/>
  <c r="AB19" i="2"/>
  <c r="AJ17" i="2"/>
  <c r="AL17" i="2" s="1"/>
  <c r="AK17" i="2"/>
  <c r="AM17" i="2" s="1"/>
  <c r="AC17" i="2" s="1"/>
  <c r="AD17" i="2" s="1"/>
  <c r="AB18" i="2"/>
  <c r="X18" i="2"/>
  <c r="AN18" i="2" s="1"/>
  <c r="AC16" i="2"/>
  <c r="AD16" i="2" s="1"/>
  <c r="Y16" i="2"/>
  <c r="Z16" i="2" s="1"/>
  <c r="K20" i="2"/>
  <c r="R20" i="2" s="1"/>
  <c r="L20" i="2"/>
  <c r="S20" i="2" s="1"/>
  <c r="J20" i="2"/>
  <c r="Q20" i="2" s="1"/>
  <c r="O23" i="2"/>
  <c r="N23" i="2"/>
  <c r="P23" i="2"/>
  <c r="AE17" i="2" l="1"/>
  <c r="AI29" i="2"/>
  <c r="AA29" i="2"/>
  <c r="AH29" i="2"/>
  <c r="W29" i="2"/>
  <c r="V31" i="2"/>
  <c r="AU30" i="2"/>
  <c r="AY30" i="2"/>
  <c r="BJ30" i="2" s="1"/>
  <c r="BC30" i="2"/>
  <c r="AV30" i="2"/>
  <c r="BH30" i="2" s="1"/>
  <c r="AZ30" i="2"/>
  <c r="BD30" i="2"/>
  <c r="AW30" i="2"/>
  <c r="BA30" i="2"/>
  <c r="BE30" i="2"/>
  <c r="AX30" i="2"/>
  <c r="BB30" i="2"/>
  <c r="BL30" i="2" s="1"/>
  <c r="AT30" i="2"/>
  <c r="AO30" i="2"/>
  <c r="AS30" i="2"/>
  <c r="AP30" i="2"/>
  <c r="AQ30" i="2"/>
  <c r="AR30" i="2"/>
  <c r="AK19" i="2"/>
  <c r="AM19" i="2" s="1"/>
  <c r="AC19" i="2" s="1"/>
  <c r="AD19" i="2" s="1"/>
  <c r="AJ19" i="2"/>
  <c r="AL19" i="2" s="1"/>
  <c r="Y19" i="2" s="1"/>
  <c r="Z19" i="2" s="1"/>
  <c r="AJ18" i="2"/>
  <c r="AL18" i="2" s="1"/>
  <c r="AK18" i="2"/>
  <c r="AM18" i="2" s="1"/>
  <c r="AC18" i="2" s="1"/>
  <c r="Y17" i="2"/>
  <c r="Z17" i="2" s="1"/>
  <c r="N24" i="2"/>
  <c r="L21" i="2"/>
  <c r="S21" i="2" s="1"/>
  <c r="K21" i="2"/>
  <c r="R21" i="2" s="1"/>
  <c r="J21" i="2"/>
  <c r="Q21" i="2" s="1"/>
  <c r="P24" i="2"/>
  <c r="O24" i="2"/>
  <c r="T20" i="2"/>
  <c r="AE18" i="2" l="1"/>
  <c r="AA30" i="2"/>
  <c r="AI30" i="2"/>
  <c r="AH30" i="2"/>
  <c r="W30" i="2"/>
  <c r="V32" i="2"/>
  <c r="AU31" i="2"/>
  <c r="AY31" i="2"/>
  <c r="BJ31" i="2" s="1"/>
  <c r="BC31" i="2"/>
  <c r="AV31" i="2"/>
  <c r="BH31" i="2" s="1"/>
  <c r="AZ31" i="2"/>
  <c r="BD31" i="2"/>
  <c r="AW31" i="2"/>
  <c r="BA31" i="2"/>
  <c r="BE31" i="2"/>
  <c r="BB31" i="2"/>
  <c r="BL31" i="2" s="1"/>
  <c r="AT31" i="2"/>
  <c r="AX31" i="2"/>
  <c r="AR31" i="2"/>
  <c r="AQ31" i="2"/>
  <c r="AO31" i="2"/>
  <c r="AS31" i="2"/>
  <c r="AP31" i="2"/>
  <c r="AB20" i="2"/>
  <c r="X20" i="2"/>
  <c r="AN20" i="2" s="1"/>
  <c r="Y18" i="2"/>
  <c r="Z18" i="2" s="1"/>
  <c r="AD18" i="2"/>
  <c r="P25" i="2"/>
  <c r="P26" i="2" s="1"/>
  <c r="P27" i="2" s="1"/>
  <c r="P28" i="2" s="1"/>
  <c r="P29" i="2" s="1"/>
  <c r="P30" i="2" s="1"/>
  <c r="P31" i="2" s="1"/>
  <c r="P32" i="2" s="1"/>
  <c r="P33" i="2" s="1"/>
  <c r="P34" i="2" s="1"/>
  <c r="K22" i="2"/>
  <c r="R22" i="2" s="1"/>
  <c r="L22" i="2"/>
  <c r="S22" i="2" s="1"/>
  <c r="J22" i="2"/>
  <c r="Q22" i="2" s="1"/>
  <c r="O25" i="2"/>
  <c r="O26" i="2" s="1"/>
  <c r="O27" i="2" s="1"/>
  <c r="O28" i="2" s="1"/>
  <c r="O29" i="2" s="1"/>
  <c r="O30" i="2" s="1"/>
  <c r="O31" i="2" s="1"/>
  <c r="O32" i="2" s="1"/>
  <c r="O33" i="2" s="1"/>
  <c r="O34" i="2" s="1"/>
  <c r="T21" i="2"/>
  <c r="N25" i="2"/>
  <c r="N26" i="2" s="1"/>
  <c r="N27" i="2" s="1"/>
  <c r="N28" i="2" s="1"/>
  <c r="N29" i="2" s="1"/>
  <c r="N30" i="2" s="1"/>
  <c r="N31" i="2" s="1"/>
  <c r="N32" i="2" s="1"/>
  <c r="N33" i="2" s="1"/>
  <c r="N34" i="2" s="1"/>
  <c r="AE19" i="2" l="1"/>
  <c r="AE20" i="2" s="1"/>
  <c r="AH31" i="2"/>
  <c r="W31" i="2"/>
  <c r="AI31" i="2"/>
  <c r="AA31" i="2"/>
  <c r="V33" i="2"/>
  <c r="AU32" i="2"/>
  <c r="AY32" i="2"/>
  <c r="BJ32" i="2" s="1"/>
  <c r="BC32" i="2"/>
  <c r="AV32" i="2"/>
  <c r="BH32" i="2" s="1"/>
  <c r="AZ32" i="2"/>
  <c r="BD32" i="2"/>
  <c r="AW32" i="2"/>
  <c r="BA32" i="2"/>
  <c r="BE32" i="2"/>
  <c r="AT32" i="2"/>
  <c r="BB32" i="2"/>
  <c r="BL32" i="2" s="1"/>
  <c r="AX32" i="2"/>
  <c r="AQ32" i="2"/>
  <c r="AR32" i="2"/>
  <c r="AP32" i="2"/>
  <c r="AO32" i="2"/>
  <c r="AS32" i="2"/>
  <c r="AJ20" i="2"/>
  <c r="AL20" i="2" s="1"/>
  <c r="AK20" i="2"/>
  <c r="AM20" i="2" s="1"/>
  <c r="AB21" i="2"/>
  <c r="X21" i="2"/>
  <c r="AN21" i="2" s="1"/>
  <c r="L23" i="2"/>
  <c r="S23" i="2" s="1"/>
  <c r="K23" i="2"/>
  <c r="R23" i="2" s="1"/>
  <c r="J23" i="2"/>
  <c r="Q23" i="2" s="1"/>
  <c r="T22" i="2"/>
  <c r="AI32" i="2" l="1"/>
  <c r="AA32" i="2"/>
  <c r="AH32" i="2"/>
  <c r="W32" i="2"/>
  <c r="V34" i="2"/>
  <c r="AU33" i="2"/>
  <c r="AY33" i="2"/>
  <c r="BJ33" i="2" s="1"/>
  <c r="BC33" i="2"/>
  <c r="AV33" i="2"/>
  <c r="BH33" i="2" s="1"/>
  <c r="AZ33" i="2"/>
  <c r="BD33" i="2"/>
  <c r="AW33" i="2"/>
  <c r="BA33" i="2"/>
  <c r="BE33" i="2"/>
  <c r="AT33" i="2"/>
  <c r="AX33" i="2"/>
  <c r="BB33" i="2"/>
  <c r="BL33" i="2" s="1"/>
  <c r="AP33" i="2"/>
  <c r="AS33" i="2"/>
  <c r="AQ33" i="2"/>
  <c r="AR33" i="2"/>
  <c r="AO33" i="2"/>
  <c r="AK21" i="2"/>
  <c r="AM21" i="2" s="1"/>
  <c r="Y20" i="2"/>
  <c r="Z20" i="2" s="1"/>
  <c r="X22" i="2"/>
  <c r="AN22" i="2" s="1"/>
  <c r="AB22" i="2"/>
  <c r="AJ21" i="2"/>
  <c r="AL21" i="2" s="1"/>
  <c r="AC20" i="2"/>
  <c r="AD20" i="2" s="1"/>
  <c r="AE21" i="2" s="1"/>
  <c r="K24" i="2"/>
  <c r="R24" i="2" s="1"/>
  <c r="L24" i="2"/>
  <c r="S24" i="2" s="1"/>
  <c r="J24" i="2"/>
  <c r="Q24" i="2" s="1"/>
  <c r="T23" i="2"/>
  <c r="AH33" i="2" l="1"/>
  <c r="W33" i="2"/>
  <c r="AI33" i="2"/>
  <c r="AA33" i="2"/>
  <c r="AU34" i="2"/>
  <c r="AY34" i="2"/>
  <c r="BJ34" i="2" s="1"/>
  <c r="BJ35" i="2" s="1"/>
  <c r="N40" i="2" s="1"/>
  <c r="N46" i="2" s="1"/>
  <c r="BC34" i="2"/>
  <c r="AV34" i="2"/>
  <c r="BH34" i="2" s="1"/>
  <c r="BH35" i="2" s="1"/>
  <c r="M40" i="2" s="1"/>
  <c r="M46" i="2" s="1"/>
  <c r="AZ34" i="2"/>
  <c r="BD34" i="2"/>
  <c r="AW34" i="2"/>
  <c r="BA34" i="2"/>
  <c r="BE34" i="2"/>
  <c r="AX34" i="2"/>
  <c r="BB34" i="2"/>
  <c r="BL34" i="2" s="1"/>
  <c r="BL35" i="2" s="1"/>
  <c r="O40" i="2" s="1"/>
  <c r="AT34" i="2"/>
  <c r="AO34" i="2"/>
  <c r="AS34" i="2"/>
  <c r="AP34" i="2"/>
  <c r="AR34" i="2"/>
  <c r="AQ34" i="2"/>
  <c r="J26" i="2"/>
  <c r="Q26" i="2" s="1"/>
  <c r="L26" i="2"/>
  <c r="S26" i="2" s="1"/>
  <c r="K26" i="2"/>
  <c r="R26" i="2" s="1"/>
  <c r="AK22" i="2"/>
  <c r="AM22" i="2" s="1"/>
  <c r="AJ22" i="2"/>
  <c r="AL22" i="2" s="1"/>
  <c r="Y22" i="2" s="1"/>
  <c r="Z22" i="2" s="1"/>
  <c r="AB23" i="2"/>
  <c r="X23" i="2"/>
  <c r="AN23" i="2" s="1"/>
  <c r="Y21" i="2"/>
  <c r="Z21" i="2" s="1"/>
  <c r="AC21" i="2"/>
  <c r="AD21" i="2" s="1"/>
  <c r="K25" i="2"/>
  <c r="R25" i="2" s="1"/>
  <c r="L25" i="2"/>
  <c r="S25" i="2" s="1"/>
  <c r="J25" i="2"/>
  <c r="Q25" i="2" s="1"/>
  <c r="T24" i="2"/>
  <c r="AE22" i="2" l="1"/>
  <c r="O46" i="2"/>
  <c r="M49" i="2"/>
  <c r="N49" i="2"/>
  <c r="AH34" i="2"/>
  <c r="W34" i="2"/>
  <c r="AI34" i="2"/>
  <c r="AA34" i="2"/>
  <c r="T26" i="2"/>
  <c r="X26" i="2" s="1"/>
  <c r="J27" i="2"/>
  <c r="Q27" i="2" s="1"/>
  <c r="L27" i="2"/>
  <c r="S27" i="2" s="1"/>
  <c r="K27" i="2"/>
  <c r="R27" i="2" s="1"/>
  <c r="AB24" i="2"/>
  <c r="X24" i="2"/>
  <c r="AN24" i="2" s="1"/>
  <c r="AN35" i="2" s="1"/>
  <c r="AK23" i="2"/>
  <c r="AM23" i="2" s="1"/>
  <c r="AC23" i="2" s="1"/>
  <c r="AJ23" i="2"/>
  <c r="AL23" i="2" s="1"/>
  <c r="Y23" i="2" s="1"/>
  <c r="Z23" i="2" s="1"/>
  <c r="AC22" i="2"/>
  <c r="AD22" i="2" s="1"/>
  <c r="T25" i="2"/>
  <c r="AE23" i="2" l="1"/>
  <c r="O49" i="2"/>
  <c r="AB26" i="2"/>
  <c r="AK26" i="2" s="1"/>
  <c r="AM26" i="2" s="1"/>
  <c r="AC26" i="2" s="1"/>
  <c r="AD26" i="2" s="1"/>
  <c r="J28" i="2"/>
  <c r="Q28" i="2" s="1"/>
  <c r="K28" i="2"/>
  <c r="R28" i="2" s="1"/>
  <c r="L28" i="2"/>
  <c r="S28" i="2" s="1"/>
  <c r="AJ26" i="2"/>
  <c r="AL26" i="2" s="1"/>
  <c r="Y26" i="2" s="1"/>
  <c r="Z26" i="2" s="1"/>
  <c r="T27" i="2"/>
  <c r="AJ24" i="2"/>
  <c r="AL24" i="2" s="1"/>
  <c r="AK24" i="2"/>
  <c r="AM24" i="2" s="1"/>
  <c r="AC24" i="2" s="1"/>
  <c r="AB25" i="2"/>
  <c r="X25" i="2"/>
  <c r="AD23" i="2"/>
  <c r="AE24" i="2" s="1"/>
  <c r="X27" i="2" l="1"/>
  <c r="AJ27" i="2" s="1"/>
  <c r="AL27" i="2" s="1"/>
  <c r="Y27" i="2" s="1"/>
  <c r="Z27" i="2" s="1"/>
  <c r="AB27" i="2"/>
  <c r="AK27" i="2" s="1"/>
  <c r="AM27" i="2" s="1"/>
  <c r="AC27" i="2" s="1"/>
  <c r="AD27" i="2" s="1"/>
  <c r="T28" i="2"/>
  <c r="L29" i="2"/>
  <c r="S29" i="2" s="1"/>
  <c r="K29" i="2"/>
  <c r="R29" i="2" s="1"/>
  <c r="J29" i="2"/>
  <c r="Q29" i="2" s="1"/>
  <c r="AJ25" i="2"/>
  <c r="AL25" i="2" s="1"/>
  <c r="AK25" i="2"/>
  <c r="AM25" i="2" s="1"/>
  <c r="AC25" i="2" s="1"/>
  <c r="AD25" i="2" s="1"/>
  <c r="Y24" i="2"/>
  <c r="Z24" i="2" s="1"/>
  <c r="AD24" i="2"/>
  <c r="AE25" i="2" l="1"/>
  <c r="T29" i="2"/>
  <c r="AB28" i="2"/>
  <c r="AK28" i="2" s="1"/>
  <c r="AM28" i="2" s="1"/>
  <c r="AC28" i="2" s="1"/>
  <c r="AD28" i="2" s="1"/>
  <c r="X28" i="2"/>
  <c r="AJ28" i="2" s="1"/>
  <c r="AL28" i="2" s="1"/>
  <c r="Y28" i="2" s="1"/>
  <c r="Z28" i="2" s="1"/>
  <c r="J30" i="2"/>
  <c r="Q30" i="2" s="1"/>
  <c r="K30" i="2"/>
  <c r="R30" i="2" s="1"/>
  <c r="L30" i="2"/>
  <c r="S30" i="2" s="1"/>
  <c r="E31" i="2"/>
  <c r="Y25" i="2"/>
  <c r="Z25" i="2" s="1"/>
  <c r="AE26" i="2" l="1"/>
  <c r="AE27" i="2" s="1"/>
  <c r="AE28" i="2" s="1"/>
  <c r="AE29" i="2" s="1"/>
  <c r="T30" i="2"/>
  <c r="X30" i="2" s="1"/>
  <c r="AJ30" i="2" s="1"/>
  <c r="AL30" i="2" s="1"/>
  <c r="Y30" i="2" s="1"/>
  <c r="Z30" i="2" s="1"/>
  <c r="L31" i="2"/>
  <c r="S31" i="2" s="1"/>
  <c r="E32" i="2"/>
  <c r="K31" i="2"/>
  <c r="R31" i="2" s="1"/>
  <c r="J31" i="2"/>
  <c r="Q31" i="2" s="1"/>
  <c r="AB29" i="2"/>
  <c r="AK29" i="2" s="1"/>
  <c r="AM29" i="2" s="1"/>
  <c r="AC29" i="2" s="1"/>
  <c r="AD29" i="2" s="1"/>
  <c r="X29" i="2"/>
  <c r="AB30" i="2" l="1"/>
  <c r="AK30" i="2" s="1"/>
  <c r="AM30" i="2" s="1"/>
  <c r="AC30" i="2" s="1"/>
  <c r="AD30" i="2" s="1"/>
  <c r="K32" i="2"/>
  <c r="R32" i="2" s="1"/>
  <c r="J32" i="2"/>
  <c r="Q32" i="2" s="1"/>
  <c r="L32" i="2"/>
  <c r="S32" i="2" s="1"/>
  <c r="E33" i="2"/>
  <c r="AJ29" i="2"/>
  <c r="AL29" i="2" s="1"/>
  <c r="Y29" i="2" s="1"/>
  <c r="Z29" i="2" s="1"/>
  <c r="AE30" i="2" s="1"/>
  <c r="T31" i="2"/>
  <c r="AE31" i="2" l="1"/>
  <c r="T32" i="2"/>
  <c r="AB31" i="2"/>
  <c r="AK31" i="2" s="1"/>
  <c r="AM31" i="2" s="1"/>
  <c r="AC31" i="2" s="1"/>
  <c r="AD31" i="2" s="1"/>
  <c r="X31" i="2"/>
  <c r="AJ31" i="2" s="1"/>
  <c r="AL31" i="2" s="1"/>
  <c r="Y31" i="2" s="1"/>
  <c r="Z31" i="2" s="1"/>
  <c r="L33" i="2"/>
  <c r="S33" i="2" s="1"/>
  <c r="J33" i="2"/>
  <c r="Q33" i="2" s="1"/>
  <c r="E34" i="2"/>
  <c r="K33" i="2"/>
  <c r="R33" i="2" s="1"/>
  <c r="AE32" i="2" l="1"/>
  <c r="AB32" i="2"/>
  <c r="X32" i="2"/>
  <c r="AJ32" i="2" s="1"/>
  <c r="AL32" i="2" s="1"/>
  <c r="Y32" i="2" s="1"/>
  <c r="Z32" i="2" s="1"/>
  <c r="J34" i="2"/>
  <c r="Q34" i="2" s="1"/>
  <c r="K34" i="2"/>
  <c r="R34" i="2" s="1"/>
  <c r="L34" i="2"/>
  <c r="S34" i="2" s="1"/>
  <c r="T33" i="2"/>
  <c r="T34" i="2" l="1"/>
  <c r="X34" i="2" s="1"/>
  <c r="AJ34" i="2" s="1"/>
  <c r="AL34" i="2" s="1"/>
  <c r="Y34" i="2" s="1"/>
  <c r="Z34" i="2" s="1"/>
  <c r="AK32" i="2"/>
  <c r="AM32" i="2" s="1"/>
  <c r="AC32" i="2" s="1"/>
  <c r="AD32" i="2" s="1"/>
  <c r="AE33" i="2" s="1"/>
  <c r="X33" i="2"/>
  <c r="AB33" i="2"/>
  <c r="AK33" i="2" s="1"/>
  <c r="AM33" i="2" s="1"/>
  <c r="AC33" i="2" s="1"/>
  <c r="AD33" i="2" s="1"/>
  <c r="AB34" i="2" l="1"/>
  <c r="AK34" i="2" s="1"/>
  <c r="AM34" i="2" s="1"/>
  <c r="AC34" i="2" s="1"/>
  <c r="AD34" i="2" s="1"/>
  <c r="AF34" i="2" s="1"/>
  <c r="AJ33" i="2"/>
  <c r="AL33" i="2" s="1"/>
  <c r="Y33" i="2" s="1"/>
  <c r="Z33" i="2" s="1"/>
  <c r="AE34" i="2" s="1"/>
  <c r="AD35" i="2" l="1"/>
  <c r="Z35" i="2"/>
  <c r="AF33" i="2"/>
  <c r="AF32" i="2" s="1"/>
  <c r="AF31" i="2" s="1"/>
  <c r="AF30" i="2" s="1"/>
  <c r="AF29" i="2" s="1"/>
  <c r="AF28" i="2" s="1"/>
  <c r="AF27" i="2" s="1"/>
  <c r="AF26" i="2" s="1"/>
  <c r="AF25" i="2" s="1"/>
  <c r="AF24" i="2" s="1"/>
  <c r="AF23" i="2" s="1"/>
  <c r="AF22" i="2" s="1"/>
  <c r="AF21" i="2" s="1"/>
  <c r="AF20" i="2" s="1"/>
  <c r="AF19" i="2" l="1"/>
  <c r="AF18" i="2" s="1"/>
  <c r="AF17" i="2" s="1"/>
  <c r="AF16" i="2" s="1"/>
  <c r="AF15" i="2" s="1"/>
  <c r="AF14" i="2" s="1"/>
</calcChain>
</file>

<file path=xl/sharedStrings.xml><?xml version="1.0" encoding="utf-8"?>
<sst xmlns="http://schemas.openxmlformats.org/spreadsheetml/2006/main" count="333" uniqueCount="165">
  <si>
    <t>m</t>
  </si>
  <si>
    <t>Ruhed</t>
  </si>
  <si>
    <t>mm</t>
  </si>
  <si>
    <t>d</t>
  </si>
  <si>
    <t>s</t>
  </si>
  <si>
    <t>kg/s</t>
  </si>
  <si>
    <t>m/s</t>
  </si>
  <si>
    <t>Re</t>
  </si>
  <si>
    <t>m²/s</t>
  </si>
  <si>
    <t>Kinematisk Viscositet</t>
  </si>
  <si>
    <t>Antal forbruger</t>
  </si>
  <si>
    <t>Effekt Rumopvarmning</t>
  </si>
  <si>
    <t>Effekt Storforbruger</t>
  </si>
  <si>
    <t>Stræknings-længde</t>
  </si>
  <si>
    <t>Stræknings- nummer</t>
  </si>
  <si>
    <t>Akkumuleret effekt Varme</t>
  </si>
  <si>
    <t>Akkumuleret effekt storforbruger</t>
  </si>
  <si>
    <t>Dimmensionsgivende effekt Varme</t>
  </si>
  <si>
    <t xml:space="preserve">Flow </t>
  </si>
  <si>
    <t>Stk</t>
  </si>
  <si>
    <t>kW</t>
  </si>
  <si>
    <t>-</t>
  </si>
  <si>
    <t>Dimension Forslag</t>
  </si>
  <si>
    <t>VÆLG DIMENSION</t>
  </si>
  <si>
    <t>Tryktab delstrækning</t>
  </si>
  <si>
    <t>Differenstryk Disponibel</t>
  </si>
  <si>
    <t>Differenstryk    Fordret</t>
  </si>
  <si>
    <t>Fremløbstemperatur</t>
  </si>
  <si>
    <t>Returtemperatur Varme</t>
  </si>
  <si>
    <t>°C</t>
  </si>
  <si>
    <t>Delta-T Varme</t>
  </si>
  <si>
    <t>mmVS/m</t>
  </si>
  <si>
    <t>mVS</t>
  </si>
  <si>
    <t>Antal forbrugere samlet</t>
  </si>
  <si>
    <t>Effekt GVV</t>
  </si>
  <si>
    <t>Effekt VVB</t>
  </si>
  <si>
    <t>Returtemperatur GVV</t>
  </si>
  <si>
    <t>Returtemperatur VVB</t>
  </si>
  <si>
    <t>Delta-T GVV</t>
  </si>
  <si>
    <t>Delta-T VVB</t>
  </si>
  <si>
    <t>NetSTAR version 4.0</t>
  </si>
  <si>
    <t>Materiale</t>
  </si>
  <si>
    <t>AluPEX</t>
  </si>
  <si>
    <t>Fremløb</t>
  </si>
  <si>
    <t>Retur</t>
  </si>
  <si>
    <t>Serie 1</t>
  </si>
  <si>
    <t>Serie 2</t>
  </si>
  <si>
    <t>Serie 3</t>
  </si>
  <si>
    <t>Serie 4</t>
  </si>
  <si>
    <t>D</t>
  </si>
  <si>
    <t>St</t>
  </si>
  <si>
    <t>Projeknavn:</t>
  </si>
  <si>
    <t>Varmeværk</t>
  </si>
  <si>
    <t>Delstrækning:</t>
  </si>
  <si>
    <t>Bemærkninger:</t>
  </si>
  <si>
    <t>Differenstryk i tilslutning</t>
  </si>
  <si>
    <t>Minimum differenstryk Pkt. 1</t>
  </si>
  <si>
    <t>Valgt dimension Fremløb</t>
  </si>
  <si>
    <t>Valgt dimension Retur</t>
  </si>
  <si>
    <t>Strømnings-hastighed Fremløb</t>
  </si>
  <si>
    <t>Strømnings-hastighed        Retur</t>
  </si>
  <si>
    <t>Tryktabsgradient Fremløb</t>
  </si>
  <si>
    <t>Tryktabsgradient Retur</t>
  </si>
  <si>
    <t>Samtidigheds-faktor  Varme</t>
  </si>
  <si>
    <t>Samtidigheds-faktor  GVV</t>
  </si>
  <si>
    <t>Samtidigheds-faktor  VVB</t>
  </si>
  <si>
    <t>stk</t>
  </si>
  <si>
    <t>Varmefylde medie</t>
  </si>
  <si>
    <t>kJ/kg K</t>
  </si>
  <si>
    <t>Massefylde medie</t>
  </si>
  <si>
    <t>kg/l</t>
  </si>
  <si>
    <t>Akkumuleret effekt GVV</t>
  </si>
  <si>
    <t>Akkumuleret effekt VVB</t>
  </si>
  <si>
    <t>Dimmensionsgivende effekt GVV</t>
  </si>
  <si>
    <t>Dimmensionsgivende effekt VVB</t>
  </si>
  <si>
    <t>di</t>
  </si>
  <si>
    <t>OPSLAG VED DIMENSIONSVALG</t>
  </si>
  <si>
    <t>Mellemregning</t>
  </si>
  <si>
    <t xml:space="preserve">Re </t>
  </si>
  <si>
    <t>Friktionsfaktor Lambda</t>
  </si>
  <si>
    <t>VALG</t>
  </si>
  <si>
    <t>27-27</t>
  </si>
  <si>
    <t>27-34</t>
  </si>
  <si>
    <t>34-34</t>
  </si>
  <si>
    <t>34-42</t>
  </si>
  <si>
    <t>42-42</t>
  </si>
  <si>
    <t>42-48</t>
  </si>
  <si>
    <t>48-48</t>
  </si>
  <si>
    <t>48-60</t>
  </si>
  <si>
    <t>60-60</t>
  </si>
  <si>
    <t>60-76</t>
  </si>
  <si>
    <t>76-76</t>
  </si>
  <si>
    <t>76-89</t>
  </si>
  <si>
    <t>89-89</t>
  </si>
  <si>
    <t>89-114</t>
  </si>
  <si>
    <t>114-114</t>
  </si>
  <si>
    <t>114-139</t>
  </si>
  <si>
    <t>139-139</t>
  </si>
  <si>
    <t>139-168</t>
  </si>
  <si>
    <t>168-168</t>
  </si>
  <si>
    <t>168-219</t>
  </si>
  <si>
    <t>219-219</t>
  </si>
  <si>
    <t>Tab v 70/35</t>
  </si>
  <si>
    <t>W/m</t>
  </si>
  <si>
    <t>Listepris</t>
  </si>
  <si>
    <t>kr/m</t>
  </si>
  <si>
    <t>Kappe/Pris/Tab</t>
  </si>
  <si>
    <t>16-16</t>
  </si>
  <si>
    <t>16-20</t>
  </si>
  <si>
    <t>20-20</t>
  </si>
  <si>
    <t>20-25</t>
  </si>
  <si>
    <t>25-25</t>
  </si>
  <si>
    <t>25-32</t>
  </si>
  <si>
    <t>32-32</t>
  </si>
  <si>
    <t>32-40</t>
  </si>
  <si>
    <t>40-40</t>
  </si>
  <si>
    <t>70/35/8</t>
  </si>
  <si>
    <t>Delta-T Dif = 62, hhv 27°C, middel 48,5°C</t>
  </si>
  <si>
    <t>Faktor</t>
  </si>
  <si>
    <t>Temperatur</t>
  </si>
  <si>
    <t>pris rørlængder brutto</t>
  </si>
  <si>
    <t>W</t>
  </si>
  <si>
    <t>Sum for ark:</t>
  </si>
  <si>
    <t>Varmetab</t>
  </si>
  <si>
    <t>Tab på ovenstående</t>
  </si>
  <si>
    <t>Tab undernet 1</t>
  </si>
  <si>
    <t>Tab undernet 2</t>
  </si>
  <si>
    <t>Tab undernet 3</t>
  </si>
  <si>
    <t>Tab undernet 4</t>
  </si>
  <si>
    <t>Sum</t>
  </si>
  <si>
    <t>Varmepris Kr/MWh</t>
  </si>
  <si>
    <t>Periode år</t>
  </si>
  <si>
    <t>Tab pr år, MWh</t>
  </si>
  <si>
    <t>Tab stikledninger</t>
  </si>
  <si>
    <t>16-20/160</t>
  </si>
  <si>
    <t>20-25/160</t>
  </si>
  <si>
    <t>25-32/160</t>
  </si>
  <si>
    <t>16-20/110</t>
  </si>
  <si>
    <t>20-25/110</t>
  </si>
  <si>
    <t>Antal</t>
  </si>
  <si>
    <t>Længde</t>
  </si>
  <si>
    <t>Tab/m</t>
  </si>
  <si>
    <t>Tab</t>
  </si>
  <si>
    <t>16-16/110</t>
  </si>
  <si>
    <t>20-20/110</t>
  </si>
  <si>
    <t>25-25/110</t>
  </si>
  <si>
    <t>16-16/125</t>
  </si>
  <si>
    <t>20-20/125</t>
  </si>
  <si>
    <t>25-25/125</t>
  </si>
  <si>
    <t>16-16/160</t>
  </si>
  <si>
    <t>20-20/160</t>
  </si>
  <si>
    <t>25-25/160</t>
  </si>
  <si>
    <t>Tab Stik i dobbeltrør</t>
  </si>
  <si>
    <t>Tab Stik i Twinrør</t>
  </si>
  <si>
    <t>16-20/125</t>
  </si>
  <si>
    <t>20-25/125</t>
  </si>
  <si>
    <t>25-32/125</t>
  </si>
  <si>
    <t>d. 150313</t>
  </si>
  <si>
    <t>25-32/200</t>
  </si>
  <si>
    <t>32-32/160</t>
  </si>
  <si>
    <t>32-32/200</t>
  </si>
  <si>
    <t>Temperaturkorrigeret</t>
  </si>
  <si>
    <t>Sum Twinrørsstik v 70/35/8°C</t>
  </si>
  <si>
    <t>Sum Dobbeltrørsstik v 70/35/8°C</t>
  </si>
  <si>
    <t>Omkostning 1000Kr/30år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</si>
</sst>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0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6"/>
      <color theme="1"/>
      <name val="Arial"/>
      <family val="2"/>
    </font>
    <font>
      <sz val="12"/>
      <name val="Arial"/>
      <family val="2"/>
    </font>
    <font>
      <sz val="8"/>
      <color theme="1"/>
      <name val="Calibri"/>
      <family val="2"/>
      <scheme val="minor"/>
    </font>
    <font>
      <b/>
      <sz val="12"/>
      <color rgb="FFFF0000"/>
      <name val="Arial"/>
      <family val="2"/>
    </font>
    <font>
      <b/>
      <sz val="16"/>
      <color theme="9" tint="-0.499984740745262"/>
      <name val="Arial"/>
      <family val="2"/>
    </font>
    <font>
      <sz val="10"/>
      <color theme="1"/>
      <name val="Arial"/>
      <family val="2"/>
    </font>
    <font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898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59">
    <border>
      <left/>
      <right/>
      <top/>
      <bottom/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70C0"/>
      </left>
      <right/>
      <top style="medium">
        <color rgb="FF0070C0"/>
      </top>
      <bottom style="thin">
        <color rgb="FF0070C0"/>
      </bottom>
      <diagonal/>
    </border>
    <border>
      <left style="medium">
        <color rgb="FF0070C0"/>
      </left>
      <right/>
      <top style="thin">
        <color rgb="FF0070C0"/>
      </top>
      <bottom style="thin">
        <color rgb="FF0070C0"/>
      </bottom>
      <diagonal/>
    </border>
    <border>
      <left style="medium">
        <color rgb="FF0070C0"/>
      </left>
      <right/>
      <top style="thin">
        <color rgb="FF0070C0"/>
      </top>
      <bottom style="medium">
        <color rgb="FF0070C0"/>
      </bottom>
      <diagonal/>
    </border>
    <border>
      <left/>
      <right/>
      <top style="medium">
        <color rgb="FF0070C0"/>
      </top>
      <bottom style="thin">
        <color rgb="FF0070C0"/>
      </bottom>
      <diagonal/>
    </border>
    <border>
      <left/>
      <right style="medium">
        <color rgb="FF0070C0"/>
      </right>
      <top style="medium">
        <color rgb="FF0070C0"/>
      </top>
      <bottom style="thin">
        <color rgb="FF0070C0"/>
      </bottom>
      <diagonal/>
    </border>
    <border>
      <left/>
      <right/>
      <top style="thin">
        <color rgb="FF0070C0"/>
      </top>
      <bottom style="thin">
        <color rgb="FF0070C0"/>
      </bottom>
      <diagonal/>
    </border>
    <border>
      <left/>
      <right style="medium">
        <color rgb="FF0070C0"/>
      </right>
      <top style="thin">
        <color rgb="FF0070C0"/>
      </top>
      <bottom style="thin">
        <color rgb="FF0070C0"/>
      </bottom>
      <diagonal/>
    </border>
    <border>
      <left/>
      <right/>
      <top style="thin">
        <color rgb="FF0070C0"/>
      </top>
      <bottom style="medium">
        <color rgb="FF0070C0"/>
      </bottom>
      <diagonal/>
    </border>
    <border>
      <left/>
      <right style="medium">
        <color rgb="FF0070C0"/>
      </right>
      <top style="thin">
        <color rgb="FF0070C0"/>
      </top>
      <bottom style="medium">
        <color rgb="FF0070C0"/>
      </bottom>
      <diagonal/>
    </border>
    <border>
      <left style="medium">
        <color rgb="FF0070C0"/>
      </left>
      <right/>
      <top style="thin">
        <color rgb="FF0070C0"/>
      </top>
      <bottom/>
      <diagonal/>
    </border>
    <border>
      <left style="thin">
        <color rgb="FF0070C0"/>
      </left>
      <right/>
      <top style="thin">
        <color rgb="FF0070C0"/>
      </top>
      <bottom/>
      <diagonal/>
    </border>
    <border>
      <left/>
      <right/>
      <top style="thin">
        <color rgb="FF0070C0"/>
      </top>
      <bottom/>
      <diagonal/>
    </border>
    <border>
      <left/>
      <right style="medium">
        <color rgb="FF0070C0"/>
      </right>
      <top style="thin">
        <color rgb="FF0070C0"/>
      </top>
      <bottom/>
      <diagonal/>
    </border>
    <border>
      <left style="medium">
        <color rgb="FF0070C0"/>
      </left>
      <right/>
      <top/>
      <bottom style="medium">
        <color rgb="FF0070C0"/>
      </bottom>
      <diagonal/>
    </border>
    <border>
      <left style="thin">
        <color rgb="FF0070C0"/>
      </left>
      <right/>
      <top/>
      <bottom style="medium">
        <color rgb="FF0070C0"/>
      </bottom>
      <diagonal/>
    </border>
    <border>
      <left/>
      <right/>
      <top/>
      <bottom style="medium">
        <color rgb="FF0070C0"/>
      </bottom>
      <diagonal/>
    </border>
    <border>
      <left/>
      <right style="medium">
        <color rgb="FF0070C0"/>
      </right>
      <top/>
      <bottom style="medium">
        <color rgb="FF0070C0"/>
      </bottom>
      <diagonal/>
    </border>
    <border>
      <left style="medium">
        <color theme="4" tint="-0.24994659260841701"/>
      </left>
      <right/>
      <top style="medium">
        <color theme="4" tint="-0.24994659260841701"/>
      </top>
      <bottom/>
      <diagonal/>
    </border>
    <border>
      <left/>
      <right/>
      <top style="medium">
        <color theme="4" tint="-0.24994659260841701"/>
      </top>
      <bottom/>
      <diagonal/>
    </border>
    <border>
      <left/>
      <right style="medium">
        <color theme="4" tint="-0.24994659260841701"/>
      </right>
      <top style="medium">
        <color theme="4" tint="-0.24994659260841701"/>
      </top>
      <bottom/>
      <diagonal/>
    </border>
    <border>
      <left style="medium">
        <color theme="4" tint="-0.24994659260841701"/>
      </left>
      <right/>
      <top/>
      <bottom/>
      <diagonal/>
    </border>
    <border>
      <left/>
      <right style="medium">
        <color theme="4" tint="-0.24994659260841701"/>
      </right>
      <top/>
      <bottom/>
      <diagonal/>
    </border>
    <border>
      <left style="medium">
        <color theme="4" tint="-0.24994659260841701"/>
      </left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 style="thin">
        <color theme="4" tint="-0.24994659260841701"/>
      </left>
      <right style="medium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 style="medium">
        <color theme="4" tint="-0.24994659260841701"/>
      </left>
      <right style="thin">
        <color theme="4" tint="-0.24994659260841701"/>
      </right>
      <top style="thin">
        <color theme="4" tint="-0.24994659260841701"/>
      </top>
      <bottom style="medium">
        <color theme="4" tint="-0.24994659260841701"/>
      </bottom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 style="medium">
        <color theme="4" tint="-0.24994659260841701"/>
      </bottom>
      <diagonal/>
    </border>
    <border>
      <left style="thin">
        <color theme="4" tint="-0.24994659260841701"/>
      </left>
      <right style="medium">
        <color theme="4" tint="-0.24994659260841701"/>
      </right>
      <top style="thin">
        <color theme="4" tint="-0.24994659260841701"/>
      </top>
      <bottom style="medium">
        <color theme="4" tint="-0.24994659260841701"/>
      </bottom>
      <diagonal/>
    </border>
    <border>
      <left style="medium">
        <color rgb="FF0070C0"/>
      </left>
      <right/>
      <top/>
      <bottom/>
      <diagonal/>
    </border>
    <border>
      <left style="medium">
        <color rgb="FF0070C0"/>
      </left>
      <right/>
      <top style="medium">
        <color rgb="FF0070C0"/>
      </top>
      <bottom/>
      <diagonal/>
    </border>
    <border>
      <left/>
      <right/>
      <top style="medium">
        <color rgb="FF0070C0"/>
      </top>
      <bottom/>
      <diagonal/>
    </border>
    <border>
      <left style="thin">
        <color rgb="FF0070C0"/>
      </left>
      <right/>
      <top style="medium">
        <color rgb="FF0070C0"/>
      </top>
      <bottom/>
      <diagonal/>
    </border>
    <border>
      <left/>
      <right style="medium">
        <color rgb="FF0070C0"/>
      </right>
      <top style="medium">
        <color rgb="FF0070C0"/>
      </top>
      <bottom/>
      <diagonal/>
    </border>
    <border>
      <left style="medium">
        <color rgb="FF0070C0"/>
      </left>
      <right/>
      <top/>
      <bottom style="thin">
        <color rgb="FF0070C0"/>
      </bottom>
      <diagonal/>
    </border>
    <border>
      <left/>
      <right/>
      <top/>
      <bottom style="thin">
        <color rgb="FF0070C0"/>
      </bottom>
      <diagonal/>
    </border>
    <border>
      <left style="thin">
        <color rgb="FF0070C0"/>
      </left>
      <right/>
      <top/>
      <bottom style="thin">
        <color rgb="FF0070C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/>
      <top style="thin">
        <color rgb="FF0070C0"/>
      </top>
      <bottom style="thin">
        <color rgb="FF0070C0"/>
      </bottom>
      <diagonal/>
    </border>
    <border>
      <left/>
      <right style="thin">
        <color rgb="FF0070C0"/>
      </right>
      <top style="thin">
        <color rgb="FF0070C0"/>
      </top>
      <bottom style="thin">
        <color rgb="FF0070C0"/>
      </bottom>
      <diagonal/>
    </border>
    <border>
      <left/>
      <right style="thin">
        <color rgb="FF0070C0"/>
      </right>
      <top style="thin">
        <color rgb="FF0070C0"/>
      </top>
      <bottom/>
      <diagonal/>
    </border>
    <border>
      <left/>
      <right style="thin">
        <color rgb="FF0070C0"/>
      </right>
      <top/>
      <bottom style="thin">
        <color rgb="FF0070C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/>
      <diagonal/>
    </border>
    <border>
      <left style="thin">
        <color rgb="FF0070C0"/>
      </left>
      <right style="thin">
        <color rgb="FF0070C0"/>
      </right>
      <top/>
      <bottom style="thin">
        <color rgb="FF0070C0"/>
      </bottom>
      <diagonal/>
    </border>
    <border>
      <left/>
      <right style="thin">
        <color rgb="FF0070C0"/>
      </right>
      <top style="medium">
        <color rgb="FF0070C0"/>
      </top>
      <bottom/>
      <diagonal/>
    </border>
    <border>
      <left/>
      <right style="thin">
        <color rgb="FF0070C0"/>
      </right>
      <top/>
      <bottom/>
      <diagonal/>
    </border>
    <border>
      <left/>
      <right style="thin">
        <color rgb="FF0070C0"/>
      </right>
      <top/>
      <bottom style="medium">
        <color rgb="FF0070C0"/>
      </bottom>
      <diagonal/>
    </border>
    <border>
      <left style="thin">
        <color rgb="FF0070C0"/>
      </left>
      <right/>
      <top style="medium">
        <color rgb="FF0070C0"/>
      </top>
      <bottom style="thin">
        <color rgb="FF0070C0"/>
      </bottom>
      <diagonal/>
    </border>
    <border>
      <left style="medium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 style="medium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 style="medium">
        <color rgb="FF0070C0"/>
      </right>
      <top style="thin">
        <color rgb="FF0070C0"/>
      </top>
      <bottom style="medium">
        <color rgb="FF0070C0"/>
      </bottom>
      <diagonal/>
    </border>
    <border>
      <left/>
      <right style="thin">
        <color rgb="FF0070C0"/>
      </right>
      <top style="thin">
        <color rgb="FF0070C0"/>
      </top>
      <bottom style="medium">
        <color rgb="FF0070C0"/>
      </bottom>
      <diagonal/>
    </border>
    <border>
      <left style="medium">
        <color rgb="FF0070C0"/>
      </left>
      <right/>
      <top style="medium">
        <color rgb="FF0070C0"/>
      </top>
      <bottom style="medium">
        <color rgb="FF0070C0"/>
      </bottom>
      <diagonal/>
    </border>
    <border>
      <left/>
      <right/>
      <top style="medium">
        <color rgb="FF0070C0"/>
      </top>
      <bottom style="medium">
        <color rgb="FF0070C0"/>
      </bottom>
      <diagonal/>
    </border>
    <border>
      <left/>
      <right style="medium">
        <color rgb="FF0070C0"/>
      </right>
      <top style="medium">
        <color rgb="FF0070C0"/>
      </top>
      <bottom style="medium">
        <color rgb="FF0070C0"/>
      </bottom>
      <diagonal/>
    </border>
  </borders>
  <cellStyleXfs count="1">
    <xf numFmtId="0" fontId="0" fillId="0" borderId="0"/>
  </cellStyleXfs>
  <cellXfs count="142">
    <xf numFmtId="0" fontId="0" fillId="0" borderId="0" xfId="0"/>
    <xf numFmtId="0" fontId="2" fillId="0" borderId="0" xfId="0" applyFont="1"/>
    <xf numFmtId="0" fontId="2" fillId="3" borderId="1" xfId="0" applyFont="1" applyFill="1" applyBorder="1" applyAlignment="1">
      <alignment horizontal="center" vertical="top" textRotation="180" wrapText="1"/>
    </xf>
    <xf numFmtId="0" fontId="2" fillId="2" borderId="1" xfId="0" applyFont="1" applyFill="1" applyBorder="1" applyAlignment="1">
      <alignment horizontal="center" vertical="top" textRotation="180" wrapText="1"/>
    </xf>
    <xf numFmtId="0" fontId="2" fillId="7" borderId="1" xfId="0" applyFont="1" applyFill="1" applyBorder="1" applyAlignment="1">
      <alignment horizontal="center" vertical="top" textRotation="180" wrapText="1"/>
    </xf>
    <xf numFmtId="0" fontId="2" fillId="6" borderId="1" xfId="0" applyFont="1" applyFill="1" applyBorder="1" applyAlignment="1">
      <alignment horizontal="center" vertical="top" textRotation="180" wrapText="1"/>
    </xf>
    <xf numFmtId="0" fontId="2" fillId="5" borderId="1" xfId="0" applyFont="1" applyFill="1" applyBorder="1" applyAlignment="1">
      <alignment horizontal="center" vertical="top" textRotation="180" wrapText="1"/>
    </xf>
    <xf numFmtId="0" fontId="2" fillId="0" borderId="1" xfId="0" applyFont="1" applyBorder="1"/>
    <xf numFmtId="0" fontId="2" fillId="0" borderId="1" xfId="0" quotePrefix="1" applyFont="1" applyBorder="1" applyAlignment="1">
      <alignment horizontal="center"/>
    </xf>
    <xf numFmtId="0" fontId="1" fillId="3" borderId="1" xfId="0" applyFont="1" applyFill="1" applyBorder="1" applyAlignment="1">
      <alignment horizontal="center" vertical="top" textRotation="180" wrapText="1"/>
    </xf>
    <xf numFmtId="0" fontId="2" fillId="8" borderId="1" xfId="0" applyFont="1" applyFill="1" applyBorder="1" applyAlignment="1">
      <alignment horizontal="center" vertical="top" textRotation="180" wrapText="1"/>
    </xf>
    <xf numFmtId="0" fontId="0" fillId="0" borderId="2" xfId="0" applyBorder="1"/>
    <xf numFmtId="0" fontId="0" fillId="0" borderId="2" xfId="0" applyFill="1" applyBorder="1"/>
    <xf numFmtId="0" fontId="2" fillId="0" borderId="6" xfId="0" applyFont="1" applyBorder="1"/>
    <xf numFmtId="0" fontId="2" fillId="0" borderId="8" xfId="0" applyFont="1" applyBorder="1"/>
    <xf numFmtId="0" fontId="2" fillId="0" borderId="10" xfId="0" applyFont="1" applyBorder="1"/>
    <xf numFmtId="0" fontId="2" fillId="0" borderId="14" xfId="0" applyFont="1" applyBorder="1"/>
    <xf numFmtId="0" fontId="2" fillId="0" borderId="16" xfId="0" applyFont="1" applyBorder="1"/>
    <xf numFmtId="0" fontId="2" fillId="0" borderId="18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12" xfId="0" applyFont="1" applyBorder="1"/>
    <xf numFmtId="0" fontId="1" fillId="3" borderId="6" xfId="0" applyFont="1" applyFill="1" applyBorder="1"/>
    <xf numFmtId="0" fontId="1" fillId="0" borderId="7" xfId="0" applyFont="1" applyBorder="1"/>
    <xf numFmtId="0" fontId="1" fillId="3" borderId="8" xfId="0" applyFont="1" applyFill="1" applyBorder="1"/>
    <xf numFmtId="0" fontId="1" fillId="0" borderId="9" xfId="0" applyFont="1" applyBorder="1"/>
    <xf numFmtId="0" fontId="1" fillId="7" borderId="8" xfId="0" applyFont="1" applyFill="1" applyBorder="1"/>
    <xf numFmtId="0" fontId="1" fillId="0" borderId="5" xfId="0" applyFont="1" applyBorder="1"/>
    <xf numFmtId="0" fontId="1" fillId="7" borderId="10" xfId="0" applyFont="1" applyFill="1" applyBorder="1"/>
    <xf numFmtId="0" fontId="1" fillId="0" borderId="11" xfId="0" applyFont="1" applyBorder="1"/>
    <xf numFmtId="0" fontId="1" fillId="0" borderId="6" xfId="0" applyFont="1" applyBorder="1"/>
    <xf numFmtId="0" fontId="1" fillId="0" borderId="8" xfId="0" applyFont="1" applyBorder="1"/>
    <xf numFmtId="0" fontId="1" fillId="0" borderId="10" xfId="0" applyFont="1" applyBorder="1"/>
    <xf numFmtId="0" fontId="2" fillId="0" borderId="20" xfId="0" applyFont="1" applyBorder="1"/>
    <xf numFmtId="0" fontId="2" fillId="0" borderId="21" xfId="0" applyFont="1" applyBorder="1"/>
    <xf numFmtId="0" fontId="2" fillId="0" borderId="22" xfId="0" applyFont="1" applyBorder="1"/>
    <xf numFmtId="0" fontId="2" fillId="0" borderId="23" xfId="0" applyFont="1" applyBorder="1"/>
    <xf numFmtId="0" fontId="2" fillId="0" borderId="0" xfId="0" applyFont="1" applyBorder="1"/>
    <xf numFmtId="0" fontId="2" fillId="0" borderId="24" xfId="0" applyFont="1" applyBorder="1"/>
    <xf numFmtId="0" fontId="2" fillId="3" borderId="25" xfId="0" applyFont="1" applyFill="1" applyBorder="1" applyAlignment="1">
      <alignment horizontal="center" vertical="top" textRotation="180" wrapText="1"/>
    </xf>
    <xf numFmtId="0" fontId="2" fillId="7" borderId="26" xfId="0" applyFont="1" applyFill="1" applyBorder="1" applyAlignment="1">
      <alignment horizontal="center" vertical="top" textRotation="180" wrapText="1"/>
    </xf>
    <xf numFmtId="0" fontId="2" fillId="0" borderId="25" xfId="0" applyFont="1" applyBorder="1"/>
    <xf numFmtId="0" fontId="2" fillId="0" borderId="26" xfId="0" applyFont="1" applyBorder="1"/>
    <xf numFmtId="0" fontId="2" fillId="0" borderId="27" xfId="0" applyFont="1" applyBorder="1"/>
    <xf numFmtId="0" fontId="2" fillId="0" borderId="28" xfId="0" applyFont="1" applyBorder="1"/>
    <xf numFmtId="0" fontId="2" fillId="0" borderId="30" xfId="0" applyFont="1" applyBorder="1"/>
    <xf numFmtId="0" fontId="1" fillId="0" borderId="31" xfId="0" applyFont="1" applyBorder="1"/>
    <xf numFmtId="0" fontId="2" fillId="0" borderId="32" xfId="0" applyFont="1" applyBorder="1"/>
    <xf numFmtId="0" fontId="2" fillId="0" borderId="36" xfId="0" applyFont="1" applyBorder="1"/>
    <xf numFmtId="0" fontId="1" fillId="0" borderId="35" xfId="0" applyFont="1" applyBorder="1"/>
    <xf numFmtId="0" fontId="0" fillId="0" borderId="2" xfId="0" applyBorder="1" applyAlignment="1">
      <alignment horizontal="center"/>
    </xf>
    <xf numFmtId="164" fontId="2" fillId="0" borderId="1" xfId="0" applyNumberFormat="1" applyFont="1" applyBorder="1"/>
    <xf numFmtId="2" fontId="2" fillId="0" borderId="1" xfId="0" applyNumberFormat="1" applyFont="1" applyBorder="1"/>
    <xf numFmtId="0" fontId="2" fillId="3" borderId="1" xfId="0" applyFont="1" applyFill="1" applyBorder="1"/>
    <xf numFmtId="0" fontId="2" fillId="4" borderId="0" xfId="0" applyFont="1" applyFill="1"/>
    <xf numFmtId="0" fontId="2" fillId="8" borderId="0" xfId="0" applyFont="1" applyFill="1"/>
    <xf numFmtId="0" fontId="0" fillId="0" borderId="2" xfId="0" applyBorder="1" applyAlignment="1">
      <alignment textRotation="180"/>
    </xf>
    <xf numFmtId="1" fontId="2" fillId="0" borderId="0" xfId="0" applyNumberFormat="1" applyFont="1"/>
    <xf numFmtId="0" fontId="4" fillId="0" borderId="0" xfId="0" applyFont="1"/>
    <xf numFmtId="1" fontId="4" fillId="0" borderId="1" xfId="0" applyNumberFormat="1" applyFont="1" applyBorder="1"/>
    <xf numFmtId="1" fontId="2" fillId="0" borderId="1" xfId="0" applyNumberFormat="1" applyFont="1" applyBorder="1"/>
    <xf numFmtId="0" fontId="5" fillId="0" borderId="2" xfId="0" applyFont="1" applyBorder="1"/>
    <xf numFmtId="49" fontId="0" fillId="0" borderId="0" xfId="0" applyNumberFormat="1"/>
    <xf numFmtId="0" fontId="0" fillId="3" borderId="2" xfId="0" applyFill="1" applyBorder="1"/>
    <xf numFmtId="164" fontId="0" fillId="9" borderId="2" xfId="0" applyNumberFormat="1" applyFill="1" applyBorder="1"/>
    <xf numFmtId="0" fontId="0" fillId="9" borderId="0" xfId="0" applyFill="1"/>
    <xf numFmtId="0" fontId="2" fillId="0" borderId="41" xfId="0" applyFont="1" applyBorder="1"/>
    <xf numFmtId="1" fontId="2" fillId="0" borderId="41" xfId="0" applyNumberFormat="1" applyFont="1" applyBorder="1"/>
    <xf numFmtId="0" fontId="2" fillId="3" borderId="41" xfId="0" applyFont="1" applyFill="1" applyBorder="1"/>
    <xf numFmtId="164" fontId="2" fillId="0" borderId="28" xfId="0" applyNumberFormat="1" applyFont="1" applyBorder="1"/>
    <xf numFmtId="164" fontId="2" fillId="0" borderId="26" xfId="0" applyNumberFormat="1" applyFont="1" applyBorder="1"/>
    <xf numFmtId="164" fontId="2" fillId="0" borderId="29" xfId="0" applyNumberFormat="1" applyFont="1" applyBorder="1"/>
    <xf numFmtId="1" fontId="2" fillId="3" borderId="41" xfId="0" applyNumberFormat="1" applyFont="1" applyFill="1" applyBorder="1"/>
    <xf numFmtId="164" fontId="2" fillId="0" borderId="0" xfId="0" applyNumberFormat="1" applyFont="1"/>
    <xf numFmtId="164" fontId="2" fillId="0" borderId="41" xfId="0" applyNumberFormat="1" applyFont="1" applyBorder="1"/>
    <xf numFmtId="1" fontId="8" fillId="0" borderId="41" xfId="0" applyNumberFormat="1" applyFont="1" applyBorder="1"/>
    <xf numFmtId="0" fontId="2" fillId="0" borderId="1" xfId="0" applyFont="1" applyBorder="1"/>
    <xf numFmtId="0" fontId="2" fillId="0" borderId="25" xfId="0" applyFont="1" applyBorder="1"/>
    <xf numFmtId="0" fontId="6" fillId="0" borderId="1" xfId="0" applyFont="1" applyBorder="1"/>
    <xf numFmtId="0" fontId="2" fillId="0" borderId="1" xfId="0" applyFont="1" applyBorder="1"/>
    <xf numFmtId="0" fontId="2" fillId="0" borderId="41" xfId="0" applyFont="1" applyBorder="1"/>
    <xf numFmtId="0" fontId="4" fillId="0" borderId="1" xfId="0" applyFont="1" applyBorder="1"/>
    <xf numFmtId="0" fontId="4" fillId="0" borderId="25" xfId="0" applyFont="1" applyBorder="1"/>
    <xf numFmtId="0" fontId="2" fillId="0" borderId="48" xfId="0" applyFont="1" applyBorder="1"/>
    <xf numFmtId="0" fontId="2" fillId="0" borderId="49" xfId="0" applyFont="1" applyBorder="1"/>
    <xf numFmtId="0" fontId="2" fillId="0" borderId="50" xfId="0" applyFont="1" applyBorder="1"/>
    <xf numFmtId="0" fontId="2" fillId="0" borderId="45" xfId="0" applyFont="1" applyBorder="1"/>
    <xf numFmtId="0" fontId="2" fillId="0" borderId="44" xfId="0" applyFont="1" applyBorder="1"/>
    <xf numFmtId="164" fontId="4" fillId="0" borderId="1" xfId="0" applyNumberFormat="1" applyFont="1" applyBorder="1"/>
    <xf numFmtId="0" fontId="2" fillId="0" borderId="52" xfId="0" applyFont="1" applyBorder="1"/>
    <xf numFmtId="1" fontId="2" fillId="0" borderId="53" xfId="0" applyNumberFormat="1" applyFont="1" applyBorder="1"/>
    <xf numFmtId="0" fontId="2" fillId="0" borderId="53" xfId="0" applyFont="1" applyBorder="1"/>
    <xf numFmtId="0" fontId="1" fillId="0" borderId="54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43" xfId="0" applyFont="1" applyBorder="1"/>
    <xf numFmtId="0" fontId="2" fillId="0" borderId="7" xfId="0" applyFont="1" applyBorder="1"/>
    <xf numFmtId="164" fontId="9" fillId="9" borderId="2" xfId="0" applyNumberFormat="1" applyFont="1" applyFill="1" applyBorder="1"/>
    <xf numFmtId="0" fontId="9" fillId="0" borderId="2" xfId="0" applyFont="1" applyBorder="1"/>
    <xf numFmtId="1" fontId="4" fillId="0" borderId="41" xfId="0" applyNumberFormat="1" applyFont="1" applyBorder="1"/>
    <xf numFmtId="0" fontId="2" fillId="0" borderId="56" xfId="0" applyFont="1" applyBorder="1"/>
    <xf numFmtId="0" fontId="2" fillId="0" borderId="57" xfId="0" applyFont="1" applyBorder="1"/>
    <xf numFmtId="164" fontId="1" fillId="0" borderId="58" xfId="0" applyNumberFormat="1" applyFont="1" applyBorder="1"/>
    <xf numFmtId="0" fontId="2" fillId="0" borderId="5" xfId="0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0" fontId="2" fillId="0" borderId="55" xfId="0" applyFont="1" applyBorder="1" applyAlignment="1">
      <alignment horizontal="left"/>
    </xf>
    <xf numFmtId="0" fontId="2" fillId="0" borderId="41" xfId="0" applyFont="1" applyBorder="1" applyAlignment="1">
      <alignment horizontal="center"/>
    </xf>
    <xf numFmtId="0" fontId="2" fillId="0" borderId="42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43" xfId="0" applyFont="1" applyBorder="1" applyAlignment="1">
      <alignment horizontal="center"/>
    </xf>
    <xf numFmtId="0" fontId="2" fillId="0" borderId="46" xfId="0" applyFont="1" applyBorder="1" applyAlignment="1">
      <alignment horizontal="center"/>
    </xf>
    <xf numFmtId="0" fontId="2" fillId="0" borderId="47" xfId="0" applyFont="1" applyBorder="1" applyAlignment="1">
      <alignment horizont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/>
    </xf>
    <xf numFmtId="0" fontId="2" fillId="0" borderId="40" xfId="0" applyFont="1" applyBorder="1" applyAlignment="1">
      <alignment horizontal="center"/>
    </xf>
    <xf numFmtId="0" fontId="1" fillId="0" borderId="8" xfId="0" applyFont="1" applyBorder="1" applyAlignment="1">
      <alignment horizontal="right"/>
    </xf>
    <xf numFmtId="0" fontId="0" fillId="0" borderId="38" xfId="0" applyBorder="1" applyAlignment="1">
      <alignment horizontal="center"/>
    </xf>
    <xf numFmtId="0" fontId="0" fillId="0" borderId="39" xfId="0" applyBorder="1" applyAlignment="1">
      <alignment horizontal="center"/>
    </xf>
    <xf numFmtId="0" fontId="0" fillId="0" borderId="40" xfId="0" applyBorder="1" applyAlignment="1">
      <alignment horizont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00"/>
      <color rgb="FFFF9900"/>
      <color rgb="FFFF898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177800</xdr:colOff>
      <xdr:row>2</xdr:row>
      <xdr:rowOff>19050</xdr:rowOff>
    </xdr:from>
    <xdr:to>
      <xdr:col>9</xdr:col>
      <xdr:colOff>167763</xdr:colOff>
      <xdr:row>6</xdr:row>
      <xdr:rowOff>82550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3050" y="304800"/>
          <a:ext cx="4085713" cy="90170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ont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BL52"/>
  <sheetViews>
    <sheetView tabSelected="1" zoomScale="65" zoomScaleNormal="65" workbookViewId="0">
      <selection activeCell="Q49" sqref="Q49"/>
    </sheetView>
  </sheetViews>
  <sheetFormatPr defaultRowHeight="15" x14ac:dyDescent="0.2"/>
  <cols>
    <col min="1" max="1" width="1.28515625" style="1" customWidth="1"/>
    <col min="2" max="5" width="6.7109375" style="1" customWidth="1"/>
    <col min="6" max="6" width="10.140625" style="1" customWidth="1"/>
    <col min="7" max="8" width="7.7109375" style="1" customWidth="1"/>
    <col min="9" max="9" width="8.140625" style="1" customWidth="1"/>
    <col min="10" max="10" width="7.5703125" style="1" customWidth="1"/>
    <col min="11" max="11" width="7.28515625" style="1" customWidth="1"/>
    <col min="12" max="12" width="7" style="1" customWidth="1"/>
    <col min="13" max="13" width="9.28515625" style="1" customWidth="1"/>
    <col min="14" max="14" width="9" style="1" customWidth="1"/>
    <col min="15" max="15" width="8.42578125" style="1" customWidth="1"/>
    <col min="16" max="16" width="9.140625" style="1"/>
    <col min="17" max="17" width="9.42578125" style="1" customWidth="1"/>
    <col min="18" max="18" width="8.42578125" style="1" customWidth="1"/>
    <col min="19" max="19" width="7.7109375" style="1" customWidth="1"/>
    <col min="20" max="20" width="11.7109375" style="1" customWidth="1"/>
    <col min="21" max="21" width="0" style="1" hidden="1" customWidth="1"/>
    <col min="22" max="22" width="10.7109375" style="1" customWidth="1"/>
    <col min="23" max="23" width="9.140625" style="1"/>
    <col min="24" max="24" width="8.7109375" style="1" customWidth="1"/>
    <col min="25" max="25" width="10.42578125" style="1" customWidth="1"/>
    <col min="26" max="26" width="8.140625" style="1" customWidth="1"/>
    <col min="27" max="27" width="9.140625" style="1"/>
    <col min="28" max="28" width="8.5703125" style="1" customWidth="1"/>
    <col min="29" max="29" width="10.85546875" style="1" customWidth="1"/>
    <col min="30" max="30" width="9.140625" style="1"/>
    <col min="31" max="31" width="8.140625" style="1" customWidth="1"/>
    <col min="32" max="33" width="9.140625" style="1"/>
    <col min="34" max="35" width="0" style="1" hidden="1" customWidth="1"/>
    <col min="36" max="36" width="11.140625" style="1" hidden="1" customWidth="1"/>
    <col min="37" max="40" width="0" style="1" hidden="1" customWidth="1"/>
    <col min="41" max="41" width="14.85546875" style="1" hidden="1" customWidth="1"/>
    <col min="42" max="57" width="0" style="1" hidden="1" customWidth="1"/>
    <col min="58" max="58" width="13.140625" style="1" hidden="1" customWidth="1"/>
    <col min="59" max="64" width="0" style="1" hidden="1" customWidth="1"/>
    <col min="65" max="16384" width="9.140625" style="1"/>
  </cols>
  <sheetData>
    <row r="1" spans="2:64" ht="5.25" customHeight="1" thickBot="1" x14ac:dyDescent="0.25"/>
    <row r="2" spans="2:64" ht="8.25" customHeight="1" thickBot="1" x14ac:dyDescent="0.25">
      <c r="B2" s="33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5"/>
    </row>
    <row r="3" spans="2:64" ht="17.100000000000001" customHeight="1" x14ac:dyDescent="0.25">
      <c r="B3" s="36"/>
      <c r="C3" s="37"/>
      <c r="D3" s="37"/>
      <c r="E3" s="37"/>
      <c r="F3" s="37"/>
      <c r="G3" s="37"/>
      <c r="H3" s="37"/>
      <c r="I3" s="37"/>
      <c r="J3" s="37"/>
      <c r="K3" s="46" t="s">
        <v>51</v>
      </c>
      <c r="L3" s="47"/>
      <c r="M3" s="83"/>
      <c r="N3" s="130"/>
      <c r="O3" s="131"/>
      <c r="P3" s="131"/>
      <c r="Q3" s="132"/>
      <c r="S3" s="19" t="s">
        <v>56</v>
      </c>
      <c r="T3" s="13"/>
      <c r="U3" s="30"/>
      <c r="V3" s="30"/>
      <c r="W3" s="30"/>
      <c r="X3" s="22">
        <v>3</v>
      </c>
      <c r="Y3" s="23" t="s">
        <v>32</v>
      </c>
      <c r="Z3" s="37"/>
      <c r="AA3" s="19" t="s">
        <v>27</v>
      </c>
      <c r="AB3" s="13"/>
      <c r="AC3" s="13"/>
      <c r="AD3" s="22">
        <v>65</v>
      </c>
      <c r="AE3" s="23" t="s">
        <v>29</v>
      </c>
      <c r="AF3" s="38"/>
    </row>
    <row r="4" spans="2:64" ht="17.100000000000001" customHeight="1" thickBot="1" x14ac:dyDescent="0.3">
      <c r="B4" s="36"/>
      <c r="C4" s="37"/>
      <c r="D4" s="37"/>
      <c r="E4" s="37"/>
      <c r="F4" s="37"/>
      <c r="G4" s="37"/>
      <c r="H4" s="37"/>
      <c r="I4" s="37"/>
      <c r="K4" s="45"/>
      <c r="L4" s="37"/>
      <c r="M4" s="84"/>
      <c r="N4" s="133"/>
      <c r="O4" s="134"/>
      <c r="P4" s="134"/>
      <c r="Q4" s="135"/>
      <c r="S4" s="20" t="s">
        <v>55</v>
      </c>
      <c r="T4" s="14"/>
      <c r="U4" s="31"/>
      <c r="V4" s="31"/>
      <c r="W4" s="31"/>
      <c r="X4" s="24">
        <v>12</v>
      </c>
      <c r="Y4" s="25" t="s">
        <v>32</v>
      </c>
      <c r="Z4" s="37"/>
      <c r="AA4" s="20" t="s">
        <v>28</v>
      </c>
      <c r="AB4" s="14"/>
      <c r="AC4" s="14"/>
      <c r="AD4" s="24">
        <v>30</v>
      </c>
      <c r="AE4" s="25" t="s">
        <v>29</v>
      </c>
      <c r="AF4" s="38"/>
    </row>
    <row r="5" spans="2:64" ht="17.100000000000001" customHeight="1" x14ac:dyDescent="0.25">
      <c r="B5" s="36"/>
      <c r="C5" s="37"/>
      <c r="D5" s="37"/>
      <c r="E5" s="37"/>
      <c r="F5" s="37"/>
      <c r="G5" s="37"/>
      <c r="H5" s="37"/>
      <c r="I5" s="37"/>
      <c r="K5" s="46" t="s">
        <v>52</v>
      </c>
      <c r="L5" s="47"/>
      <c r="M5" s="83"/>
      <c r="N5" s="130"/>
      <c r="O5" s="131"/>
      <c r="P5" s="131"/>
      <c r="Q5" s="132"/>
      <c r="S5" s="20"/>
      <c r="T5" s="14"/>
      <c r="U5" s="31"/>
      <c r="V5" s="31"/>
      <c r="W5" s="31"/>
      <c r="X5" s="31"/>
      <c r="Y5" s="25"/>
      <c r="Z5" s="37"/>
      <c r="AA5" s="20" t="s">
        <v>36</v>
      </c>
      <c r="AB5" s="14"/>
      <c r="AC5" s="14"/>
      <c r="AD5" s="24">
        <v>25</v>
      </c>
      <c r="AE5" s="25" t="s">
        <v>29</v>
      </c>
      <c r="AF5" s="38"/>
      <c r="BG5" s="1" t="s">
        <v>119</v>
      </c>
    </row>
    <row r="6" spans="2:64" ht="17.100000000000001" customHeight="1" thickBot="1" x14ac:dyDescent="0.3">
      <c r="B6" s="36"/>
      <c r="C6" s="37"/>
      <c r="D6" s="37"/>
      <c r="E6" s="37"/>
      <c r="F6" s="37"/>
      <c r="G6" s="37"/>
      <c r="H6" s="37"/>
      <c r="I6" s="37"/>
      <c r="K6" s="17"/>
      <c r="L6" s="18"/>
      <c r="M6" s="85"/>
      <c r="N6" s="133"/>
      <c r="O6" s="134"/>
      <c r="P6" s="134"/>
      <c r="Q6" s="135"/>
      <c r="S6" s="20" t="s">
        <v>9</v>
      </c>
      <c r="T6" s="14"/>
      <c r="U6" s="31"/>
      <c r="V6" s="31"/>
      <c r="W6" s="120">
        <v>3.65E-7</v>
      </c>
      <c r="X6" s="120"/>
      <c r="Y6" s="25" t="s">
        <v>8</v>
      </c>
      <c r="Z6" s="37"/>
      <c r="AA6" s="20" t="s">
        <v>37</v>
      </c>
      <c r="AB6" s="14"/>
      <c r="AC6" s="14"/>
      <c r="AD6" s="24">
        <v>30</v>
      </c>
      <c r="AE6" s="25" t="s">
        <v>29</v>
      </c>
      <c r="AF6" s="38"/>
      <c r="BG6" s="1" t="s">
        <v>118</v>
      </c>
    </row>
    <row r="7" spans="2:64" ht="17.100000000000001" customHeight="1" x14ac:dyDescent="0.25">
      <c r="B7" s="36"/>
      <c r="C7" s="37"/>
      <c r="D7" s="37"/>
      <c r="E7" s="37"/>
      <c r="F7" s="37"/>
      <c r="G7" s="37"/>
      <c r="H7" s="37"/>
      <c r="I7" s="37"/>
      <c r="K7" s="49" t="s">
        <v>53</v>
      </c>
      <c r="L7" s="48"/>
      <c r="M7" s="86"/>
      <c r="N7" s="136"/>
      <c r="O7" s="137"/>
      <c r="P7" s="137"/>
      <c r="Q7" s="138"/>
      <c r="S7" s="20" t="s">
        <v>67</v>
      </c>
      <c r="T7" s="14"/>
      <c r="U7" s="31"/>
      <c r="V7" s="31"/>
      <c r="W7" s="31"/>
      <c r="X7" s="31">
        <v>4.1870000000000003</v>
      </c>
      <c r="Y7" s="25" t="s">
        <v>68</v>
      </c>
      <c r="Z7" s="37"/>
      <c r="AA7" s="20" t="s">
        <v>30</v>
      </c>
      <c r="AB7" s="14"/>
      <c r="AC7" s="14"/>
      <c r="AD7" s="26">
        <f>+AD3-AD4</f>
        <v>35</v>
      </c>
      <c r="AE7" s="25" t="s">
        <v>29</v>
      </c>
      <c r="AF7" s="38"/>
      <c r="AO7" s="1">
        <v>1</v>
      </c>
      <c r="AP7" s="1">
        <v>2</v>
      </c>
      <c r="AQ7" s="1">
        <v>3</v>
      </c>
      <c r="AR7" s="1">
        <v>4</v>
      </c>
      <c r="AS7" s="1">
        <v>5</v>
      </c>
      <c r="AT7" s="1">
        <v>6</v>
      </c>
      <c r="AU7" s="1">
        <v>7</v>
      </c>
      <c r="AV7" s="1">
        <v>8</v>
      </c>
      <c r="AW7" s="1">
        <v>9</v>
      </c>
      <c r="AX7" s="1">
        <v>10</v>
      </c>
      <c r="AY7" s="1">
        <v>11</v>
      </c>
      <c r="AZ7" s="1">
        <v>12</v>
      </c>
      <c r="BA7" s="1">
        <v>13</v>
      </c>
      <c r="BB7" s="1">
        <v>14</v>
      </c>
      <c r="BC7" s="1">
        <v>15</v>
      </c>
      <c r="BD7" s="1">
        <v>16</v>
      </c>
      <c r="BE7" s="1">
        <v>17</v>
      </c>
      <c r="BG7" s="1">
        <f>+((AD3+AD4)/2-8)/44.5</f>
        <v>0.88764044943820219</v>
      </c>
    </row>
    <row r="8" spans="2:64" ht="17.100000000000001" customHeight="1" x14ac:dyDescent="0.25">
      <c r="B8" s="36"/>
      <c r="C8" s="139" t="s">
        <v>40</v>
      </c>
      <c r="D8" s="139"/>
      <c r="E8" s="139"/>
      <c r="F8" s="139"/>
      <c r="G8" s="139"/>
      <c r="H8" s="140" t="s">
        <v>157</v>
      </c>
      <c r="I8" s="140"/>
      <c r="K8" s="21" t="s">
        <v>54</v>
      </c>
      <c r="L8" s="16"/>
      <c r="M8" s="87"/>
      <c r="N8" s="124"/>
      <c r="O8" s="125"/>
      <c r="P8" s="125"/>
      <c r="Q8" s="126"/>
      <c r="S8" s="20" t="s">
        <v>69</v>
      </c>
      <c r="T8" s="14"/>
      <c r="U8" s="31"/>
      <c r="V8" s="31"/>
      <c r="W8" s="31"/>
      <c r="X8" s="31">
        <v>0.98</v>
      </c>
      <c r="Y8" s="25" t="s">
        <v>70</v>
      </c>
      <c r="Z8" s="37"/>
      <c r="AA8" s="20" t="s">
        <v>38</v>
      </c>
      <c r="AB8" s="14"/>
      <c r="AC8" s="14"/>
      <c r="AD8" s="26">
        <f>+AD3-AD5</f>
        <v>40</v>
      </c>
      <c r="AE8" s="25" t="s">
        <v>29</v>
      </c>
      <c r="AF8" s="38"/>
    </row>
    <row r="9" spans="2:64" ht="21" customHeight="1" thickBot="1" x14ac:dyDescent="0.3">
      <c r="B9" s="36"/>
      <c r="C9" s="139"/>
      <c r="D9" s="139"/>
      <c r="E9" s="139"/>
      <c r="F9" s="139"/>
      <c r="G9" s="139"/>
      <c r="H9" s="140"/>
      <c r="I9" s="140"/>
      <c r="J9" s="37"/>
      <c r="K9" s="17"/>
      <c r="L9" s="18"/>
      <c r="M9" s="85"/>
      <c r="N9" s="127"/>
      <c r="O9" s="128"/>
      <c r="P9" s="128"/>
      <c r="Q9" s="129"/>
      <c r="S9" s="27"/>
      <c r="T9" s="15"/>
      <c r="U9" s="32"/>
      <c r="V9" s="32"/>
      <c r="W9" s="32"/>
      <c r="X9" s="32"/>
      <c r="Y9" s="29"/>
      <c r="Z9" s="37"/>
      <c r="AA9" s="27" t="s">
        <v>39</v>
      </c>
      <c r="AB9" s="15"/>
      <c r="AC9" s="15"/>
      <c r="AD9" s="28">
        <f>+AD3-AD6</f>
        <v>35</v>
      </c>
      <c r="AE9" s="29" t="s">
        <v>29</v>
      </c>
      <c r="AF9" s="38"/>
      <c r="AH9" s="55" t="s">
        <v>77</v>
      </c>
      <c r="AI9" s="55"/>
      <c r="AJ9" s="55"/>
      <c r="AK9" s="55"/>
      <c r="AL9" s="55"/>
      <c r="AM9" s="55"/>
      <c r="AO9" s="54" t="s">
        <v>76</v>
      </c>
      <c r="AP9" s="54"/>
      <c r="AQ9" s="54"/>
      <c r="AR9" s="54"/>
      <c r="AS9" s="54"/>
      <c r="AT9" s="121" t="s">
        <v>106</v>
      </c>
      <c r="AU9" s="122"/>
      <c r="AV9" s="122"/>
      <c r="AW9" s="122"/>
      <c r="AX9" s="122"/>
      <c r="AY9" s="122"/>
      <c r="AZ9" s="122"/>
      <c r="BA9" s="122"/>
      <c r="BB9" s="122"/>
      <c r="BC9" s="122"/>
      <c r="BD9" s="122"/>
      <c r="BE9" s="123"/>
    </row>
    <row r="10" spans="2:64" ht="8.25" customHeight="1" x14ac:dyDescent="0.25">
      <c r="B10" s="36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  <c r="AF10" s="38"/>
      <c r="AH10" s="50" t="s">
        <v>43</v>
      </c>
      <c r="AI10" s="50" t="s">
        <v>44</v>
      </c>
      <c r="AJ10" s="50" t="s">
        <v>43</v>
      </c>
      <c r="AK10" s="50" t="s">
        <v>44</v>
      </c>
      <c r="AL10" s="50" t="s">
        <v>43</v>
      </c>
      <c r="AM10" s="50" t="s">
        <v>44</v>
      </c>
      <c r="AN10" s="50"/>
      <c r="AO10" s="11" t="s">
        <v>1</v>
      </c>
      <c r="AP10" s="50" t="s">
        <v>43</v>
      </c>
      <c r="AQ10" s="50"/>
      <c r="AR10" s="50" t="s">
        <v>44</v>
      </c>
      <c r="AS10" s="50"/>
      <c r="AT10" s="121" t="s">
        <v>45</v>
      </c>
      <c r="AU10" s="122"/>
      <c r="AV10" s="123"/>
      <c r="AW10" s="121" t="s">
        <v>46</v>
      </c>
      <c r="AX10" s="122"/>
      <c r="AY10" s="123"/>
      <c r="AZ10" s="121" t="s">
        <v>47</v>
      </c>
      <c r="BA10" s="122"/>
      <c r="BB10" s="123"/>
      <c r="BC10" s="121" t="s">
        <v>48</v>
      </c>
      <c r="BD10" s="122"/>
      <c r="BE10" s="123"/>
      <c r="BG10" s="118" t="s">
        <v>45</v>
      </c>
      <c r="BH10" s="119"/>
      <c r="BI10" s="118" t="s">
        <v>46</v>
      </c>
      <c r="BJ10" s="119"/>
      <c r="BK10" s="118" t="s">
        <v>47</v>
      </c>
      <c r="BL10" s="119"/>
    </row>
    <row r="11" spans="2:64" ht="104.25" customHeight="1" x14ac:dyDescent="0.25">
      <c r="B11" s="39" t="s">
        <v>14</v>
      </c>
      <c r="C11" s="2" t="s">
        <v>13</v>
      </c>
      <c r="D11" s="2" t="s">
        <v>10</v>
      </c>
      <c r="E11" s="10" t="s">
        <v>33</v>
      </c>
      <c r="F11" s="2" t="s">
        <v>11</v>
      </c>
      <c r="G11" s="2" t="s">
        <v>34</v>
      </c>
      <c r="H11" s="2" t="s">
        <v>35</v>
      </c>
      <c r="I11" s="2" t="s">
        <v>12</v>
      </c>
      <c r="J11" s="3" t="s">
        <v>63</v>
      </c>
      <c r="K11" s="3" t="s">
        <v>64</v>
      </c>
      <c r="L11" s="3" t="s">
        <v>65</v>
      </c>
      <c r="M11" s="3" t="s">
        <v>15</v>
      </c>
      <c r="N11" s="3" t="s">
        <v>71</v>
      </c>
      <c r="O11" s="3" t="s">
        <v>72</v>
      </c>
      <c r="P11" s="3" t="s">
        <v>16</v>
      </c>
      <c r="Q11" s="3" t="s">
        <v>17</v>
      </c>
      <c r="R11" s="3" t="s">
        <v>73</v>
      </c>
      <c r="S11" s="3" t="s">
        <v>74</v>
      </c>
      <c r="T11" s="4" t="s">
        <v>18</v>
      </c>
      <c r="U11" s="4" t="s">
        <v>22</v>
      </c>
      <c r="V11" s="9" t="s">
        <v>23</v>
      </c>
      <c r="W11" s="5" t="s">
        <v>57</v>
      </c>
      <c r="X11" s="5" t="s">
        <v>59</v>
      </c>
      <c r="Y11" s="5" t="s">
        <v>61</v>
      </c>
      <c r="Z11" s="5" t="s">
        <v>24</v>
      </c>
      <c r="AA11" s="6" t="s">
        <v>58</v>
      </c>
      <c r="AB11" s="6" t="s">
        <v>60</v>
      </c>
      <c r="AC11" s="6" t="s">
        <v>62</v>
      </c>
      <c r="AD11" s="6" t="s">
        <v>24</v>
      </c>
      <c r="AE11" s="4" t="s">
        <v>26</v>
      </c>
      <c r="AF11" s="40" t="s">
        <v>25</v>
      </c>
      <c r="AH11" s="11" t="s">
        <v>75</v>
      </c>
      <c r="AI11" s="11" t="s">
        <v>75</v>
      </c>
      <c r="AJ11" s="11" t="s">
        <v>7</v>
      </c>
      <c r="AK11" s="11" t="s">
        <v>78</v>
      </c>
      <c r="AL11" s="56" t="s">
        <v>79</v>
      </c>
      <c r="AM11" s="56" t="s">
        <v>79</v>
      </c>
      <c r="AN11" s="11"/>
      <c r="AO11" s="11"/>
      <c r="AP11" s="11" t="s">
        <v>3</v>
      </c>
      <c r="AQ11" s="11" t="s">
        <v>4</v>
      </c>
      <c r="AR11" s="11" t="s">
        <v>3</v>
      </c>
      <c r="AS11" s="11" t="s">
        <v>4</v>
      </c>
      <c r="AT11" s="11" t="s">
        <v>49</v>
      </c>
      <c r="AU11" s="11" t="s">
        <v>104</v>
      </c>
      <c r="AV11" s="61" t="s">
        <v>102</v>
      </c>
      <c r="AW11" s="11" t="s">
        <v>49</v>
      </c>
      <c r="AX11" s="11" t="s">
        <v>104</v>
      </c>
      <c r="AY11" s="61" t="s">
        <v>102</v>
      </c>
      <c r="AZ11" s="11" t="s">
        <v>49</v>
      </c>
      <c r="BA11" s="11" t="s">
        <v>104</v>
      </c>
      <c r="BB11" s="61" t="s">
        <v>102</v>
      </c>
      <c r="BC11" s="11" t="s">
        <v>49</v>
      </c>
      <c r="BD11" s="11" t="s">
        <v>104</v>
      </c>
      <c r="BE11" s="61" t="s">
        <v>102</v>
      </c>
      <c r="BG11" s="56" t="s">
        <v>120</v>
      </c>
      <c r="BH11" s="61" t="s">
        <v>102</v>
      </c>
      <c r="BI11" s="56" t="s">
        <v>120</v>
      </c>
      <c r="BJ11" s="61" t="s">
        <v>102</v>
      </c>
      <c r="BK11" s="56" t="s">
        <v>120</v>
      </c>
      <c r="BL11" s="61" t="s">
        <v>102</v>
      </c>
    </row>
    <row r="12" spans="2:64" ht="15.75" x14ac:dyDescent="0.25">
      <c r="B12" s="41"/>
      <c r="C12" s="7" t="s">
        <v>0</v>
      </c>
      <c r="D12" s="7" t="s">
        <v>19</v>
      </c>
      <c r="E12" s="7" t="s">
        <v>66</v>
      </c>
      <c r="F12" s="7" t="s">
        <v>20</v>
      </c>
      <c r="G12" s="7" t="s">
        <v>20</v>
      </c>
      <c r="H12" s="7" t="s">
        <v>20</v>
      </c>
      <c r="I12" s="7" t="s">
        <v>20</v>
      </c>
      <c r="J12" s="8" t="s">
        <v>21</v>
      </c>
      <c r="K12" s="8" t="s">
        <v>21</v>
      </c>
      <c r="L12" s="8" t="s">
        <v>21</v>
      </c>
      <c r="M12" s="7" t="s">
        <v>20</v>
      </c>
      <c r="N12" s="7" t="s">
        <v>20</v>
      </c>
      <c r="O12" s="7"/>
      <c r="P12" s="7" t="s">
        <v>20</v>
      </c>
      <c r="Q12" s="7" t="s">
        <v>20</v>
      </c>
      <c r="R12" s="7" t="s">
        <v>20</v>
      </c>
      <c r="S12" s="7" t="s">
        <v>20</v>
      </c>
      <c r="T12" s="7" t="s">
        <v>5</v>
      </c>
      <c r="U12" s="7" t="s">
        <v>2</v>
      </c>
      <c r="V12" s="7"/>
      <c r="W12" s="7" t="s">
        <v>2</v>
      </c>
      <c r="X12" s="7" t="s">
        <v>6</v>
      </c>
      <c r="Y12" s="7" t="s">
        <v>31</v>
      </c>
      <c r="Z12" s="7" t="s">
        <v>32</v>
      </c>
      <c r="AA12" s="7" t="s">
        <v>2</v>
      </c>
      <c r="AB12" s="7" t="s">
        <v>6</v>
      </c>
      <c r="AC12" s="7" t="s">
        <v>31</v>
      </c>
      <c r="AD12" s="7" t="s">
        <v>32</v>
      </c>
      <c r="AE12" s="7" t="s">
        <v>32</v>
      </c>
      <c r="AF12" s="42" t="s">
        <v>32</v>
      </c>
      <c r="AH12" s="11" t="s">
        <v>2</v>
      </c>
      <c r="AI12" s="11" t="s">
        <v>2</v>
      </c>
      <c r="AJ12" s="11"/>
      <c r="AK12" s="11"/>
      <c r="AL12" s="11"/>
      <c r="AM12" s="11"/>
      <c r="AN12" s="11"/>
      <c r="AO12" s="11" t="s">
        <v>0</v>
      </c>
      <c r="AP12" s="11" t="s">
        <v>2</v>
      </c>
      <c r="AQ12" s="11" t="s">
        <v>2</v>
      </c>
      <c r="AR12" s="11" t="s">
        <v>2</v>
      </c>
      <c r="AS12" s="11" t="s">
        <v>2</v>
      </c>
      <c r="AT12" s="11" t="s">
        <v>2</v>
      </c>
      <c r="AU12" s="11" t="s">
        <v>105</v>
      </c>
      <c r="AV12" s="11" t="s">
        <v>103</v>
      </c>
      <c r="AW12" s="11" t="s">
        <v>2</v>
      </c>
      <c r="AX12" s="11" t="s">
        <v>105</v>
      </c>
      <c r="AY12" s="11" t="s">
        <v>103</v>
      </c>
      <c r="AZ12" s="11" t="s">
        <v>2</v>
      </c>
      <c r="BA12" s="11" t="s">
        <v>105</v>
      </c>
      <c r="BB12" s="11" t="s">
        <v>103</v>
      </c>
      <c r="BC12" s="11" t="s">
        <v>2</v>
      </c>
      <c r="BD12" s="11" t="s">
        <v>105</v>
      </c>
      <c r="BE12" s="11" t="s">
        <v>103</v>
      </c>
      <c r="BG12" s="11" t="s">
        <v>105</v>
      </c>
      <c r="BH12" s="11" t="s">
        <v>121</v>
      </c>
      <c r="BI12" s="11" t="s">
        <v>105</v>
      </c>
      <c r="BJ12" s="11" t="s">
        <v>121</v>
      </c>
      <c r="BK12" s="11" t="s">
        <v>105</v>
      </c>
      <c r="BL12" s="11" t="s">
        <v>121</v>
      </c>
    </row>
    <row r="13" spans="2:64" ht="6.75" customHeight="1" x14ac:dyDescent="0.25">
      <c r="B13" s="41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42"/>
      <c r="AO13" s="11"/>
      <c r="AP13" s="11"/>
      <c r="AQ13" s="11"/>
      <c r="AR13" s="11"/>
      <c r="AS13" s="11"/>
    </row>
    <row r="14" spans="2:64" ht="15.75" x14ac:dyDescent="0.25">
      <c r="B14" s="77">
        <v>1</v>
      </c>
      <c r="C14" s="79">
        <v>1</v>
      </c>
      <c r="D14" s="79">
        <v>1</v>
      </c>
      <c r="E14" s="79">
        <f t="shared" ref="E14:E24" si="0">+D14+E13</f>
        <v>1</v>
      </c>
      <c r="F14" s="51">
        <v>1</v>
      </c>
      <c r="G14" s="79"/>
      <c r="H14" s="79"/>
      <c r="I14" s="7"/>
      <c r="J14" s="52">
        <f>0.62+0.38/E14</f>
        <v>1</v>
      </c>
      <c r="K14" s="52">
        <f t="shared" ref="K14:K25" si="1">+MAX((E14^(-0.6))*(101-E14)/100,0)</f>
        <v>1</v>
      </c>
      <c r="L14" s="52">
        <f t="shared" ref="L14:L25" si="2">MAX(+(101-E14)/100/E14,0)</f>
        <v>1</v>
      </c>
      <c r="M14" s="51">
        <f>+F14</f>
        <v>1</v>
      </c>
      <c r="N14" s="7">
        <f>+G14</f>
        <v>0</v>
      </c>
      <c r="O14" s="7">
        <f>+H14</f>
        <v>0</v>
      </c>
      <c r="P14" s="7">
        <f>+I14</f>
        <v>0</v>
      </c>
      <c r="Q14" s="59">
        <f>+P14+M14*J14</f>
        <v>1</v>
      </c>
      <c r="R14" s="59">
        <f>+N14*K14</f>
        <v>0</v>
      </c>
      <c r="S14" s="59">
        <f>+O14*L14</f>
        <v>0</v>
      </c>
      <c r="T14" s="52">
        <f t="shared" ref="T14:T25" si="3">+(Q14/$AD$7+R14/$AD$8+S14/$AD$9)/$X$7</f>
        <v>6.8238425057149674E-3</v>
      </c>
      <c r="U14" s="7"/>
      <c r="V14" s="53" t="s">
        <v>82</v>
      </c>
      <c r="W14" s="7">
        <f>+AP14</f>
        <v>26.9</v>
      </c>
      <c r="X14" s="52">
        <f>4000*T14/$X$8/AH14^2/3.141592</f>
        <v>1.8827543528924955E-2</v>
      </c>
      <c r="Y14" s="51">
        <f>+$X$8*(X14^2)*AL14/2/AH14*1000000/9.81</f>
        <v>5.0778096080973417E-2</v>
      </c>
      <c r="Z14" s="51">
        <f>+Y14*C14/1000</f>
        <v>5.0778096080973419E-5</v>
      </c>
      <c r="AA14" s="7">
        <f>+AR14</f>
        <v>33.700000000000003</v>
      </c>
      <c r="AB14" s="52">
        <f>4000*T14/3.141592/$X$8/AI14^2</f>
        <v>1.0914991655691557E-2</v>
      </c>
      <c r="AC14" s="51">
        <f>+$X$8*(AB14^2)*AM14/2/AI14*1000000/9.81</f>
        <v>1.4407491585713557E-2</v>
      </c>
      <c r="AD14" s="51">
        <f>+AC14*C14/1000</f>
        <v>1.4407491585713557E-5</v>
      </c>
      <c r="AE14" s="51">
        <f>+X3</f>
        <v>3</v>
      </c>
      <c r="AF14" s="70">
        <f t="shared" ref="AF14:AF33" si="4">+AF15-AD14-Z14</f>
        <v>11.999934814412333</v>
      </c>
      <c r="AH14" s="1">
        <f>+AP14-2*AQ14</f>
        <v>21.7</v>
      </c>
      <c r="AI14" s="1">
        <f>+AR14-2*AS14</f>
        <v>28.500000000000004</v>
      </c>
      <c r="AJ14" s="57">
        <f t="shared" ref="AJ14:AJ34" si="5">+X14*AH14/$W$6/1000</f>
        <v>1119.3361495278671</v>
      </c>
      <c r="AK14" s="1">
        <f t="shared" ref="AK14:AK34" si="6">+AB14*AI14/$W$6/1000</f>
        <v>852.26647174577931</v>
      </c>
      <c r="AL14" s="58">
        <f>1/(-2*LOG(AO14/AH14/3.71*1000+(5-0.1*LOG(AO14/AH14*1000))*(AJ14^-0.9)))^2</f>
        <v>6.2233145653983177E-2</v>
      </c>
      <c r="AM14" s="1">
        <f>1/(-2*LOG(AO14/AI14/3.71*1000+(5-0.1*LOG(AO14/AI14*1000))*(AK14^-0.9)))^2</f>
        <v>6.900162934368459E-2</v>
      </c>
      <c r="AN14" s="57">
        <f>+C14/X14</f>
        <v>53.113673510497499</v>
      </c>
      <c r="AO14" s="11">
        <f>VLOOKUP($V14,Dimensionsoversigt!$A$6:$S$37,3,FALSE)</f>
        <v>3.0000000000000001E-5</v>
      </c>
      <c r="AP14" s="11">
        <f>VLOOKUP($V14,Dimensionsoversigt!$A$6:$S$37,4,FALSE)</f>
        <v>26.9</v>
      </c>
      <c r="AQ14" s="11">
        <f>VLOOKUP($V14,Dimensionsoversigt!$A$6:$S$37,5,FALSE)</f>
        <v>2.6</v>
      </c>
      <c r="AR14" s="11">
        <f>VLOOKUP($V14,Dimensionsoversigt!$A$6:$S$37,6,FALSE)</f>
        <v>33.700000000000003</v>
      </c>
      <c r="AS14" s="11">
        <f>VLOOKUP($V14,Dimensionsoversigt!$A$6:$S$37,7,FALSE)</f>
        <v>2.6</v>
      </c>
      <c r="AT14" s="11">
        <f>VLOOKUP($V14,Dimensionsoversigt!$A$6:$S$37,8,FALSE)</f>
        <v>140</v>
      </c>
      <c r="AU14" s="11">
        <f>VLOOKUP($V14,Dimensionsoversigt!$A$6:$S$37,9,FALSE)</f>
        <v>0</v>
      </c>
      <c r="AV14" s="11">
        <f>VLOOKUP($V14,Dimensionsoversigt!$A$6:$S$37,10,FALSE)</f>
        <v>8.25</v>
      </c>
      <c r="AW14" s="11">
        <f>VLOOKUP($V14,Dimensionsoversigt!$A$6:$S$37,11,FALSE)</f>
        <v>160</v>
      </c>
      <c r="AX14" s="11">
        <f>VLOOKUP($V14,Dimensionsoversigt!$A$6:$S$37,12,FALSE)</f>
        <v>0</v>
      </c>
      <c r="AY14" s="11">
        <f>VLOOKUP($V14,Dimensionsoversigt!$A$6:$S$37,13,FALSE)</f>
        <v>7.06</v>
      </c>
      <c r="AZ14" s="11">
        <f>VLOOKUP($V14,Dimensionsoversigt!$A$6:$S$37,14,FALSE)</f>
        <v>180</v>
      </c>
      <c r="BA14" s="11">
        <f>VLOOKUP($V14,Dimensionsoversigt!$A$6:$S$37,15,FALSE)</f>
        <v>0</v>
      </c>
      <c r="BB14" s="11">
        <f>VLOOKUP($V14,Dimensionsoversigt!$A$6:$S$37,16,FALSE)</f>
        <v>6.33</v>
      </c>
      <c r="BC14" s="11">
        <f>VLOOKUP($V14,Dimensionsoversigt!$A$6:$S$37,17,FALSE)</f>
        <v>0</v>
      </c>
      <c r="BD14" s="11">
        <f>VLOOKUP($V14,Dimensionsoversigt!$A$6:$S$37,18,FALSE)</f>
        <v>0</v>
      </c>
      <c r="BE14" s="11">
        <f>VLOOKUP($V14,Dimensionsoversigt!$A$6:$S$37,19,FALSE)</f>
        <v>0</v>
      </c>
      <c r="BH14" s="57">
        <f>+AV14*$C14*$BG$7</f>
        <v>7.3230337078651679</v>
      </c>
      <c r="BJ14" s="57">
        <f>+AY14*$C14*$BG$7</f>
        <v>6.2667415730337073</v>
      </c>
      <c r="BL14" s="57">
        <f>+BB14*$C14*$BG$7</f>
        <v>5.6187640449438199</v>
      </c>
    </row>
    <row r="15" spans="2:64" ht="15.75" x14ac:dyDescent="0.25">
      <c r="B15" s="77">
        <v>2</v>
      </c>
      <c r="C15" s="79"/>
      <c r="D15" s="79"/>
      <c r="E15" s="79">
        <f t="shared" si="0"/>
        <v>1</v>
      </c>
      <c r="F15" s="51"/>
      <c r="G15" s="79"/>
      <c r="H15" s="79"/>
      <c r="I15" s="7"/>
      <c r="J15" s="52">
        <f t="shared" ref="J15:J25" si="7">0.62+0.38/E15</f>
        <v>1</v>
      </c>
      <c r="K15" s="52">
        <f t="shared" si="1"/>
        <v>1</v>
      </c>
      <c r="L15" s="52">
        <f t="shared" si="2"/>
        <v>1</v>
      </c>
      <c r="M15" s="51">
        <f t="shared" ref="M15:P16" si="8">+F15+M14</f>
        <v>1</v>
      </c>
      <c r="N15" s="7">
        <f t="shared" si="8"/>
        <v>0</v>
      </c>
      <c r="O15" s="7">
        <f t="shared" si="8"/>
        <v>0</v>
      </c>
      <c r="P15" s="7">
        <f t="shared" si="8"/>
        <v>0</v>
      </c>
      <c r="Q15" s="59">
        <f t="shared" ref="Q15:Q20" si="9">+P15+M15*J15</f>
        <v>1</v>
      </c>
      <c r="R15" s="59">
        <f t="shared" ref="R15:R20" si="10">+N15*K15</f>
        <v>0</v>
      </c>
      <c r="S15" s="59">
        <f t="shared" ref="S15:S20" si="11">+O15*L15</f>
        <v>0</v>
      </c>
      <c r="T15" s="52">
        <f t="shared" si="3"/>
        <v>6.8238425057149674E-3</v>
      </c>
      <c r="U15" s="7"/>
      <c r="V15" s="53" t="s">
        <v>82</v>
      </c>
      <c r="W15" s="7">
        <f t="shared" ref="W15:W25" si="12">+AP15</f>
        <v>26.9</v>
      </c>
      <c r="X15" s="52">
        <f t="shared" ref="X15:X25" si="13">4000*T15/$X$8/AH15^2/3.141592</f>
        <v>1.8827543528924955E-2</v>
      </c>
      <c r="Y15" s="51">
        <f t="shared" ref="Y15:Y25" si="14">+$X$8*(X15^2)*AL15/2/AH15*1000000/9.81</f>
        <v>5.0778096080973417E-2</v>
      </c>
      <c r="Z15" s="51">
        <f t="shared" ref="Z15:Z34" si="15">+Y15*C15/1000</f>
        <v>0</v>
      </c>
      <c r="AA15" s="7">
        <f t="shared" ref="AA15:AA25" si="16">+AR15</f>
        <v>33.700000000000003</v>
      </c>
      <c r="AB15" s="52">
        <f t="shared" ref="AB15:AB25" si="17">4000*T15/3.141592/$X$8/AI15^2</f>
        <v>1.0914991655691557E-2</v>
      </c>
      <c r="AC15" s="51">
        <f t="shared" ref="AC15:AC25" si="18">+$X$8*(AB15^2)*AM15/2/AI15*1000000/9.81</f>
        <v>1.4407491585713557E-2</v>
      </c>
      <c r="AD15" s="51">
        <f t="shared" ref="AD15:AD25" si="19">+AC15*C15/1000</f>
        <v>0</v>
      </c>
      <c r="AE15" s="51">
        <f>+AE14+AD14+Z14</f>
        <v>3.0000651855876663</v>
      </c>
      <c r="AF15" s="70">
        <f t="shared" si="4"/>
        <v>12</v>
      </c>
      <c r="AH15" s="1">
        <f t="shared" ref="AH15:AH25" si="20">+AP15-2*AQ15</f>
        <v>21.7</v>
      </c>
      <c r="AI15" s="1">
        <f t="shared" ref="AI15:AI25" si="21">+AR15-2*AS15</f>
        <v>28.500000000000004</v>
      </c>
      <c r="AJ15" s="57">
        <f t="shared" si="5"/>
        <v>1119.3361495278671</v>
      </c>
      <c r="AK15" s="1">
        <f t="shared" si="6"/>
        <v>852.26647174577931</v>
      </c>
      <c r="AL15" s="58">
        <f t="shared" ref="AL15:AL25" si="22">1/(-2*LOG(AO15/AH15/3.71*1000+(5-0.1*LOG(AO15/AH15*1000))*(AJ15^-0.9)))^2</f>
        <v>6.2233145653983177E-2</v>
      </c>
      <c r="AM15" s="1">
        <f t="shared" ref="AM15:AM25" si="23">1/(-2*LOG(AO15/AI15/3.71*1000+(5-0.1*LOG(AO15/AI15*1000))*(AK15^-0.9)))^2</f>
        <v>6.900162934368459E-2</v>
      </c>
      <c r="AN15" s="57">
        <f t="shared" ref="AN15:AN24" si="24">+C15/X15</f>
        <v>0</v>
      </c>
      <c r="AO15" s="11">
        <f>VLOOKUP($V15,Dimensionsoversigt!$A$6:$S$37,3,FALSE)</f>
        <v>3.0000000000000001E-5</v>
      </c>
      <c r="AP15" s="11">
        <f>VLOOKUP($V15,Dimensionsoversigt!$A$6:$S$37,4,FALSE)</f>
        <v>26.9</v>
      </c>
      <c r="AQ15" s="11">
        <f>VLOOKUP($V15,Dimensionsoversigt!$A$6:$S$37,5,FALSE)</f>
        <v>2.6</v>
      </c>
      <c r="AR15" s="11">
        <f>VLOOKUP($V15,Dimensionsoversigt!$A$6:$S$37,6,FALSE)</f>
        <v>33.700000000000003</v>
      </c>
      <c r="AS15" s="11">
        <f>VLOOKUP($V15,Dimensionsoversigt!$A$6:$S$37,7,FALSE)</f>
        <v>2.6</v>
      </c>
      <c r="AT15" s="11">
        <f>VLOOKUP($V15,Dimensionsoversigt!$A$6:$S$37,8,FALSE)</f>
        <v>140</v>
      </c>
      <c r="AU15" s="11">
        <f>VLOOKUP($V15,Dimensionsoversigt!$A$6:$S$37,9,FALSE)</f>
        <v>0</v>
      </c>
      <c r="AV15" s="11">
        <f>VLOOKUP($V15,Dimensionsoversigt!$A$6:$S$37,10,FALSE)</f>
        <v>8.25</v>
      </c>
      <c r="AW15" s="11">
        <f>VLOOKUP($V15,Dimensionsoversigt!$A$6:$S$37,11,FALSE)</f>
        <v>160</v>
      </c>
      <c r="AX15" s="11">
        <f>VLOOKUP($V15,Dimensionsoversigt!$A$6:$S$37,12,FALSE)</f>
        <v>0</v>
      </c>
      <c r="AY15" s="11">
        <f>VLOOKUP($V15,Dimensionsoversigt!$A$6:$S$37,13,FALSE)</f>
        <v>7.06</v>
      </c>
      <c r="AZ15" s="11">
        <f>VLOOKUP($V15,Dimensionsoversigt!$A$6:$S$37,14,FALSE)</f>
        <v>180</v>
      </c>
      <c r="BA15" s="11">
        <f>VLOOKUP($V15,Dimensionsoversigt!$A$6:$S$37,15,FALSE)</f>
        <v>0</v>
      </c>
      <c r="BB15" s="11">
        <f>VLOOKUP($V15,Dimensionsoversigt!$A$6:$S$37,16,FALSE)</f>
        <v>6.33</v>
      </c>
      <c r="BC15" s="11">
        <f>VLOOKUP($V15,Dimensionsoversigt!$A$6:$S$37,17,FALSE)</f>
        <v>0</v>
      </c>
      <c r="BD15" s="11">
        <f>VLOOKUP($V15,Dimensionsoversigt!$A$6:$S$37,18,FALSE)</f>
        <v>0</v>
      </c>
      <c r="BE15" s="11">
        <f>VLOOKUP($V15,Dimensionsoversigt!$A$6:$S$37,19,FALSE)</f>
        <v>0</v>
      </c>
      <c r="BH15" s="57">
        <f t="shared" ref="BH15:BH31" si="25">+AV15*$C15*$BG$7</f>
        <v>0</v>
      </c>
      <c r="BJ15" s="57">
        <f t="shared" ref="BJ15:BJ31" si="26">+AY15*$C15*$BG$7</f>
        <v>0</v>
      </c>
      <c r="BL15" s="57">
        <f t="shared" ref="BL15:BL31" si="27">+BB15*$C15*$BG$7</f>
        <v>0</v>
      </c>
    </row>
    <row r="16" spans="2:64" ht="15.75" x14ac:dyDescent="0.25">
      <c r="B16" s="77">
        <v>3</v>
      </c>
      <c r="C16" s="79"/>
      <c r="D16" s="79"/>
      <c r="E16" s="79">
        <f t="shared" si="0"/>
        <v>1</v>
      </c>
      <c r="F16" s="51"/>
      <c r="G16" s="79"/>
      <c r="H16" s="79"/>
      <c r="I16" s="7"/>
      <c r="J16" s="52">
        <f t="shared" si="7"/>
        <v>1</v>
      </c>
      <c r="K16" s="52">
        <f t="shared" si="1"/>
        <v>1</v>
      </c>
      <c r="L16" s="52">
        <f t="shared" si="2"/>
        <v>1</v>
      </c>
      <c r="M16" s="51">
        <f t="shared" si="8"/>
        <v>1</v>
      </c>
      <c r="N16" s="7">
        <f t="shared" si="8"/>
        <v>0</v>
      </c>
      <c r="O16" s="7">
        <f t="shared" si="8"/>
        <v>0</v>
      </c>
      <c r="P16" s="7">
        <f t="shared" si="8"/>
        <v>0</v>
      </c>
      <c r="Q16" s="59">
        <f>+P16+M16*J16</f>
        <v>1</v>
      </c>
      <c r="R16" s="59">
        <f t="shared" si="10"/>
        <v>0</v>
      </c>
      <c r="S16" s="59">
        <f t="shared" si="11"/>
        <v>0</v>
      </c>
      <c r="T16" s="52">
        <f t="shared" si="3"/>
        <v>6.8238425057149674E-3</v>
      </c>
      <c r="U16" s="7"/>
      <c r="V16" s="53" t="s">
        <v>84</v>
      </c>
      <c r="W16" s="7">
        <f t="shared" si="12"/>
        <v>33.700000000000003</v>
      </c>
      <c r="X16" s="52">
        <f t="shared" si="13"/>
        <v>1.0914991655691559E-2</v>
      </c>
      <c r="Y16" s="51">
        <f t="shared" si="14"/>
        <v>1.4407491585713562E-2</v>
      </c>
      <c r="Z16" s="51">
        <f t="shared" si="15"/>
        <v>0</v>
      </c>
      <c r="AA16" s="7">
        <f t="shared" si="16"/>
        <v>42.4</v>
      </c>
      <c r="AB16" s="52">
        <f t="shared" si="17"/>
        <v>6.4065946730369637E-3</v>
      </c>
      <c r="AC16" s="51">
        <f t="shared" si="18"/>
        <v>4.2414601149864282E-3</v>
      </c>
      <c r="AD16" s="51">
        <f t="shared" si="19"/>
        <v>0</v>
      </c>
      <c r="AE16" s="51">
        <f t="shared" ref="AE16:AE34" si="28">+AE15+AD15+Z15</f>
        <v>3.0000651855876663</v>
      </c>
      <c r="AF16" s="70">
        <f t="shared" si="4"/>
        <v>12</v>
      </c>
      <c r="AH16" s="1">
        <f t="shared" si="20"/>
        <v>28.500000000000004</v>
      </c>
      <c r="AI16" s="1">
        <f t="shared" si="21"/>
        <v>37.199999999999996</v>
      </c>
      <c r="AJ16" s="57">
        <f t="shared" si="5"/>
        <v>852.26647174577943</v>
      </c>
      <c r="AK16" s="1">
        <f t="shared" si="6"/>
        <v>652.94608722458906</v>
      </c>
      <c r="AL16" s="58">
        <f t="shared" si="22"/>
        <v>6.900162934368459E-2</v>
      </c>
      <c r="AM16" s="1">
        <f t="shared" si="23"/>
        <v>7.6962073180879914E-2</v>
      </c>
      <c r="AN16" s="57">
        <f t="shared" si="24"/>
        <v>0</v>
      </c>
      <c r="AO16" s="11">
        <f>VLOOKUP($V16,Dimensionsoversigt!$A$6:$S$37,3,FALSE)</f>
        <v>3.0000000000000001E-5</v>
      </c>
      <c r="AP16" s="11">
        <f>VLOOKUP($V16,Dimensionsoversigt!$A$6:$S$37,4,FALSE)</f>
        <v>33.700000000000003</v>
      </c>
      <c r="AQ16" s="11">
        <f>VLOOKUP($V16,Dimensionsoversigt!$A$6:$S$37,5,FALSE)</f>
        <v>2.6</v>
      </c>
      <c r="AR16" s="11">
        <f>VLOOKUP($V16,Dimensionsoversigt!$A$6:$S$37,6,FALSE)</f>
        <v>42.4</v>
      </c>
      <c r="AS16" s="11">
        <f>VLOOKUP($V16,Dimensionsoversigt!$A$6:$S$37,7,FALSE)</f>
        <v>2.6</v>
      </c>
      <c r="AT16" s="11">
        <f>VLOOKUP($V16,Dimensionsoversigt!$A$6:$S$37,8,FALSE)</f>
        <v>160</v>
      </c>
      <c r="AU16" s="11">
        <f>VLOOKUP($V16,Dimensionsoversigt!$A$6:$S$37,9,FALSE)</f>
        <v>0</v>
      </c>
      <c r="AV16" s="11">
        <f>VLOOKUP($V16,Dimensionsoversigt!$A$6:$S$37,10,FALSE)</f>
        <v>8.77</v>
      </c>
      <c r="AW16" s="11">
        <f>VLOOKUP($V16,Dimensionsoversigt!$A$6:$S$37,11,FALSE)</f>
        <v>180</v>
      </c>
      <c r="AX16" s="11">
        <f>VLOOKUP($V16,Dimensionsoversigt!$A$6:$S$37,12,FALSE)</f>
        <v>0</v>
      </c>
      <c r="AY16" s="11">
        <f>VLOOKUP($V16,Dimensionsoversigt!$A$6:$S$37,13,FALSE)</f>
        <v>7.62</v>
      </c>
      <c r="AZ16" s="11">
        <f>VLOOKUP($V16,Dimensionsoversigt!$A$6:$S$37,14,FALSE)</f>
        <v>200</v>
      </c>
      <c r="BA16" s="11">
        <f>VLOOKUP($V16,Dimensionsoversigt!$A$6:$S$37,15,FALSE)</f>
        <v>0</v>
      </c>
      <c r="BB16" s="11">
        <f>VLOOKUP($V16,Dimensionsoversigt!$A$6:$S$37,16,FALSE)</f>
        <v>6.82</v>
      </c>
      <c r="BC16" s="11">
        <f>VLOOKUP($V16,Dimensionsoversigt!$A$6:$S$37,17,FALSE)</f>
        <v>0</v>
      </c>
      <c r="BD16" s="11">
        <f>VLOOKUP($V16,Dimensionsoversigt!$A$6:$S$37,18,FALSE)</f>
        <v>0</v>
      </c>
      <c r="BE16" s="11">
        <f>VLOOKUP($V16,Dimensionsoversigt!$A$6:$S$37,19,FALSE)</f>
        <v>0</v>
      </c>
      <c r="BH16" s="57">
        <f t="shared" si="25"/>
        <v>0</v>
      </c>
      <c r="BJ16" s="57">
        <f t="shared" si="26"/>
        <v>0</v>
      </c>
      <c r="BL16" s="57">
        <f t="shared" si="27"/>
        <v>0</v>
      </c>
    </row>
    <row r="17" spans="2:64" ht="15.75" x14ac:dyDescent="0.25">
      <c r="B17" s="77">
        <v>4</v>
      </c>
      <c r="C17" s="81"/>
      <c r="D17" s="81"/>
      <c r="E17" s="79">
        <f t="shared" si="0"/>
        <v>1</v>
      </c>
      <c r="F17" s="51"/>
      <c r="G17" s="79"/>
      <c r="H17" s="79"/>
      <c r="I17" s="7"/>
      <c r="J17" s="52">
        <f t="shared" si="7"/>
        <v>1</v>
      </c>
      <c r="K17" s="52">
        <f t="shared" si="1"/>
        <v>1</v>
      </c>
      <c r="L17" s="52">
        <f t="shared" si="2"/>
        <v>1</v>
      </c>
      <c r="M17" s="51">
        <f t="shared" ref="M17:M25" si="29">+F17+M16</f>
        <v>1</v>
      </c>
      <c r="N17" s="7">
        <f t="shared" ref="N17:N25" si="30">+G17+N16</f>
        <v>0</v>
      </c>
      <c r="O17" s="7">
        <f t="shared" ref="O17:O25" si="31">+H17+O16</f>
        <v>0</v>
      </c>
      <c r="P17" s="7">
        <f t="shared" ref="P17:P25" si="32">+I17+P16</f>
        <v>0</v>
      </c>
      <c r="Q17" s="59">
        <f t="shared" si="9"/>
        <v>1</v>
      </c>
      <c r="R17" s="59">
        <f t="shared" si="10"/>
        <v>0</v>
      </c>
      <c r="S17" s="59">
        <f t="shared" si="11"/>
        <v>0</v>
      </c>
      <c r="T17" s="52">
        <f t="shared" si="3"/>
        <v>6.8238425057149674E-3</v>
      </c>
      <c r="U17" s="7"/>
      <c r="V17" s="53" t="s">
        <v>84</v>
      </c>
      <c r="W17" s="7">
        <f t="shared" si="12"/>
        <v>33.700000000000003</v>
      </c>
      <c r="X17" s="52">
        <f t="shared" si="13"/>
        <v>1.0914991655691559E-2</v>
      </c>
      <c r="Y17" s="51">
        <f t="shared" si="14"/>
        <v>1.4407491585713562E-2</v>
      </c>
      <c r="Z17" s="51">
        <f t="shared" si="15"/>
        <v>0</v>
      </c>
      <c r="AA17" s="7">
        <f t="shared" si="16"/>
        <v>42.4</v>
      </c>
      <c r="AB17" s="52">
        <f t="shared" si="17"/>
        <v>6.4065946730369637E-3</v>
      </c>
      <c r="AC17" s="51">
        <f t="shared" si="18"/>
        <v>4.2414601149864282E-3</v>
      </c>
      <c r="AD17" s="51">
        <f t="shared" si="19"/>
        <v>0</v>
      </c>
      <c r="AE17" s="51">
        <f t="shared" si="28"/>
        <v>3.0000651855876663</v>
      </c>
      <c r="AF17" s="70">
        <f t="shared" si="4"/>
        <v>12</v>
      </c>
      <c r="AH17" s="1">
        <f t="shared" si="20"/>
        <v>28.500000000000004</v>
      </c>
      <c r="AI17" s="1">
        <f t="shared" si="21"/>
        <v>37.199999999999996</v>
      </c>
      <c r="AJ17" s="57">
        <f t="shared" si="5"/>
        <v>852.26647174577943</v>
      </c>
      <c r="AK17" s="1">
        <f t="shared" si="6"/>
        <v>652.94608722458906</v>
      </c>
      <c r="AL17" s="58">
        <f t="shared" si="22"/>
        <v>6.900162934368459E-2</v>
      </c>
      <c r="AM17" s="1">
        <f t="shared" si="23"/>
        <v>7.6962073180879914E-2</v>
      </c>
      <c r="AN17" s="57">
        <f t="shared" si="24"/>
        <v>0</v>
      </c>
      <c r="AO17" s="11">
        <f>VLOOKUP($V17,Dimensionsoversigt!$A$6:$S$37,3,FALSE)</f>
        <v>3.0000000000000001E-5</v>
      </c>
      <c r="AP17" s="11">
        <f>VLOOKUP($V17,Dimensionsoversigt!$A$6:$S$37,4,FALSE)</f>
        <v>33.700000000000003</v>
      </c>
      <c r="AQ17" s="11">
        <f>VLOOKUP($V17,Dimensionsoversigt!$A$6:$S$37,5,FALSE)</f>
        <v>2.6</v>
      </c>
      <c r="AR17" s="11">
        <f>VLOOKUP($V17,Dimensionsoversigt!$A$6:$S$37,6,FALSE)</f>
        <v>42.4</v>
      </c>
      <c r="AS17" s="11">
        <f>VLOOKUP($V17,Dimensionsoversigt!$A$6:$S$37,7,FALSE)</f>
        <v>2.6</v>
      </c>
      <c r="AT17" s="11">
        <f>VLOOKUP($V17,Dimensionsoversigt!$A$6:$S$37,8,FALSE)</f>
        <v>160</v>
      </c>
      <c r="AU17" s="11">
        <f>VLOOKUP($V17,Dimensionsoversigt!$A$6:$S$37,9,FALSE)</f>
        <v>0</v>
      </c>
      <c r="AV17" s="11">
        <f>VLOOKUP($V17,Dimensionsoversigt!$A$6:$S$37,10,FALSE)</f>
        <v>8.77</v>
      </c>
      <c r="AW17" s="11">
        <f>VLOOKUP($V17,Dimensionsoversigt!$A$6:$S$37,11,FALSE)</f>
        <v>180</v>
      </c>
      <c r="AX17" s="11">
        <f>VLOOKUP($V17,Dimensionsoversigt!$A$6:$S$37,12,FALSE)</f>
        <v>0</v>
      </c>
      <c r="AY17" s="11">
        <f>VLOOKUP($V17,Dimensionsoversigt!$A$6:$S$37,13,FALSE)</f>
        <v>7.62</v>
      </c>
      <c r="AZ17" s="11">
        <f>VLOOKUP($V17,Dimensionsoversigt!$A$6:$S$37,14,FALSE)</f>
        <v>200</v>
      </c>
      <c r="BA17" s="11">
        <f>VLOOKUP($V17,Dimensionsoversigt!$A$6:$S$37,15,FALSE)</f>
        <v>0</v>
      </c>
      <c r="BB17" s="11">
        <f>VLOOKUP($V17,Dimensionsoversigt!$A$6:$S$37,16,FALSE)</f>
        <v>6.82</v>
      </c>
      <c r="BC17" s="11">
        <f>VLOOKUP($V17,Dimensionsoversigt!$A$6:$S$37,17,FALSE)</f>
        <v>0</v>
      </c>
      <c r="BD17" s="11">
        <f>VLOOKUP($V17,Dimensionsoversigt!$A$6:$S$37,18,FALSE)</f>
        <v>0</v>
      </c>
      <c r="BE17" s="11">
        <f>VLOOKUP($V17,Dimensionsoversigt!$A$6:$S$37,19,FALSE)</f>
        <v>0</v>
      </c>
      <c r="BH17" s="57">
        <f t="shared" si="25"/>
        <v>0</v>
      </c>
      <c r="BJ17" s="57">
        <f t="shared" si="26"/>
        <v>0</v>
      </c>
      <c r="BL17" s="57">
        <f t="shared" si="27"/>
        <v>0</v>
      </c>
    </row>
    <row r="18" spans="2:64" ht="15.75" x14ac:dyDescent="0.25">
      <c r="B18" s="77">
        <v>5</v>
      </c>
      <c r="C18" s="79"/>
      <c r="D18" s="79"/>
      <c r="E18" s="79">
        <f t="shared" si="0"/>
        <v>1</v>
      </c>
      <c r="F18" s="51"/>
      <c r="G18" s="79"/>
      <c r="H18" s="79"/>
      <c r="I18" s="7"/>
      <c r="J18" s="52">
        <f t="shared" si="7"/>
        <v>1</v>
      </c>
      <c r="K18" s="52">
        <f t="shared" si="1"/>
        <v>1</v>
      </c>
      <c r="L18" s="52">
        <f t="shared" si="2"/>
        <v>1</v>
      </c>
      <c r="M18" s="51">
        <f t="shared" si="29"/>
        <v>1</v>
      </c>
      <c r="N18" s="7">
        <f t="shared" si="30"/>
        <v>0</v>
      </c>
      <c r="O18" s="7">
        <f t="shared" si="31"/>
        <v>0</v>
      </c>
      <c r="P18" s="7">
        <f t="shared" si="32"/>
        <v>0</v>
      </c>
      <c r="Q18" s="59">
        <f t="shared" si="9"/>
        <v>1</v>
      </c>
      <c r="R18" s="59">
        <f t="shared" si="10"/>
        <v>0</v>
      </c>
      <c r="S18" s="59">
        <f t="shared" si="11"/>
        <v>0</v>
      </c>
      <c r="T18" s="52">
        <f t="shared" si="3"/>
        <v>6.8238425057149674E-3</v>
      </c>
      <c r="U18" s="7"/>
      <c r="V18" s="53" t="s">
        <v>86</v>
      </c>
      <c r="W18" s="7">
        <f t="shared" si="12"/>
        <v>42.4</v>
      </c>
      <c r="X18" s="52">
        <f t="shared" si="13"/>
        <v>6.4065946730369645E-3</v>
      </c>
      <c r="Y18" s="51">
        <f t="shared" si="14"/>
        <v>4.2414601149864291E-3</v>
      </c>
      <c r="Z18" s="51">
        <f t="shared" si="15"/>
        <v>0</v>
      </c>
      <c r="AA18" s="7">
        <f t="shared" si="16"/>
        <v>48.3</v>
      </c>
      <c r="AB18" s="52">
        <f t="shared" si="17"/>
        <v>4.7726390212883612E-3</v>
      </c>
      <c r="AC18" s="51">
        <f t="shared" si="18"/>
        <v>2.1654873251384038E-3</v>
      </c>
      <c r="AD18" s="51">
        <f t="shared" si="19"/>
        <v>0</v>
      </c>
      <c r="AE18" s="51">
        <f t="shared" si="28"/>
        <v>3.0000651855876663</v>
      </c>
      <c r="AF18" s="70">
        <f>+AF19-AD18-Z18</f>
        <v>12</v>
      </c>
      <c r="AH18" s="1">
        <f t="shared" si="20"/>
        <v>37.199999999999996</v>
      </c>
      <c r="AI18" s="1">
        <f t="shared" si="21"/>
        <v>43.099999999999994</v>
      </c>
      <c r="AJ18" s="57">
        <f t="shared" si="5"/>
        <v>652.94608722458918</v>
      </c>
      <c r="AK18" s="1">
        <f t="shared" si="6"/>
        <v>563.56367621240634</v>
      </c>
      <c r="AL18" s="58">
        <f t="shared" si="22"/>
        <v>7.6962073180879914E-2</v>
      </c>
      <c r="AM18" s="1">
        <f t="shared" si="23"/>
        <v>8.2033013953744141E-2</v>
      </c>
      <c r="AN18" s="57">
        <f t="shared" si="24"/>
        <v>0</v>
      </c>
      <c r="AO18" s="11">
        <f>VLOOKUP($V18,Dimensionsoversigt!$A$6:$S$37,3,FALSE)</f>
        <v>3.0000000000000001E-5</v>
      </c>
      <c r="AP18" s="11">
        <f>VLOOKUP($V18,Dimensionsoversigt!$A$6:$S$37,4,FALSE)</f>
        <v>42.4</v>
      </c>
      <c r="AQ18" s="11">
        <f>VLOOKUP($V18,Dimensionsoversigt!$A$6:$S$37,5,FALSE)</f>
        <v>2.6</v>
      </c>
      <c r="AR18" s="11">
        <f>VLOOKUP($V18,Dimensionsoversigt!$A$6:$S$37,6,FALSE)</f>
        <v>48.3</v>
      </c>
      <c r="AS18" s="11">
        <f>VLOOKUP($V18,Dimensionsoversigt!$A$6:$S$37,7,FALSE)</f>
        <v>2.6</v>
      </c>
      <c r="AT18" s="11">
        <f>VLOOKUP($V18,Dimensionsoversigt!$A$6:$S$37,8,FALSE)</f>
        <v>160</v>
      </c>
      <c r="AU18" s="11">
        <f>VLOOKUP($V18,Dimensionsoversigt!$A$6:$S$37,9,FALSE)</f>
        <v>0</v>
      </c>
      <c r="AV18" s="11">
        <f>VLOOKUP($V18,Dimensionsoversigt!$A$6:$S$37,10,FALSE)</f>
        <v>11</v>
      </c>
      <c r="AW18" s="11">
        <f>VLOOKUP($V18,Dimensionsoversigt!$A$6:$S$37,11,FALSE)</f>
        <v>180</v>
      </c>
      <c r="AX18" s="11">
        <f>VLOOKUP($V18,Dimensionsoversigt!$A$6:$S$37,12,FALSE)</f>
        <v>0</v>
      </c>
      <c r="AY18" s="11">
        <f>VLOOKUP($V18,Dimensionsoversigt!$A$6:$S$37,13,FALSE)</f>
        <v>10.3</v>
      </c>
      <c r="AZ18" s="11">
        <f>VLOOKUP($V18,Dimensionsoversigt!$A$6:$S$37,14,FALSE)</f>
        <v>200</v>
      </c>
      <c r="BA18" s="11">
        <f>VLOOKUP($V18,Dimensionsoversigt!$A$6:$S$37,15,FALSE)</f>
        <v>0</v>
      </c>
      <c r="BB18" s="11">
        <f>VLOOKUP($V18,Dimensionsoversigt!$A$6:$S$37,16,FALSE)</f>
        <v>8.1300000000000008</v>
      </c>
      <c r="BC18" s="11">
        <f>VLOOKUP($V18,Dimensionsoversigt!$A$6:$S$37,17,FALSE)</f>
        <v>0</v>
      </c>
      <c r="BD18" s="11">
        <f>VLOOKUP($V18,Dimensionsoversigt!$A$6:$S$37,18,FALSE)</f>
        <v>0</v>
      </c>
      <c r="BE18" s="11">
        <f>VLOOKUP($V18,Dimensionsoversigt!$A$6:$S$37,19,FALSE)</f>
        <v>0</v>
      </c>
      <c r="BH18" s="57">
        <f t="shared" si="25"/>
        <v>0</v>
      </c>
      <c r="BJ18" s="57">
        <f t="shared" si="26"/>
        <v>0</v>
      </c>
      <c r="BL18" s="57">
        <f t="shared" si="27"/>
        <v>0</v>
      </c>
    </row>
    <row r="19" spans="2:64" ht="15.75" x14ac:dyDescent="0.25">
      <c r="B19" s="82">
        <v>6</v>
      </c>
      <c r="C19" s="81"/>
      <c r="D19" s="81"/>
      <c r="E19" s="81">
        <f t="shared" si="0"/>
        <v>1</v>
      </c>
      <c r="F19" s="88"/>
      <c r="G19" s="81"/>
      <c r="H19" s="81"/>
      <c r="I19" s="7"/>
      <c r="J19" s="52">
        <f t="shared" si="7"/>
        <v>1</v>
      </c>
      <c r="K19" s="52">
        <f t="shared" si="1"/>
        <v>1</v>
      </c>
      <c r="L19" s="52">
        <f t="shared" si="2"/>
        <v>1</v>
      </c>
      <c r="M19" s="51">
        <f t="shared" si="29"/>
        <v>1</v>
      </c>
      <c r="N19" s="7">
        <f t="shared" si="30"/>
        <v>0</v>
      </c>
      <c r="O19" s="7">
        <f t="shared" si="31"/>
        <v>0</v>
      </c>
      <c r="P19" s="7">
        <f t="shared" si="32"/>
        <v>0</v>
      </c>
      <c r="Q19" s="59">
        <f t="shared" si="9"/>
        <v>1</v>
      </c>
      <c r="R19" s="59">
        <f t="shared" si="10"/>
        <v>0</v>
      </c>
      <c r="S19" s="59">
        <f t="shared" si="11"/>
        <v>0</v>
      </c>
      <c r="T19" s="52">
        <f t="shared" si="3"/>
        <v>6.8238425057149674E-3</v>
      </c>
      <c r="U19" s="7"/>
      <c r="V19" s="53" t="s">
        <v>86</v>
      </c>
      <c r="W19" s="7">
        <f t="shared" si="12"/>
        <v>42.4</v>
      </c>
      <c r="X19" s="52">
        <f t="shared" si="13"/>
        <v>6.4065946730369645E-3</v>
      </c>
      <c r="Y19" s="51">
        <f t="shared" si="14"/>
        <v>4.2414601149864291E-3</v>
      </c>
      <c r="Z19" s="51">
        <f t="shared" si="15"/>
        <v>0</v>
      </c>
      <c r="AA19" s="7">
        <f t="shared" si="16"/>
        <v>48.3</v>
      </c>
      <c r="AB19" s="52">
        <f t="shared" si="17"/>
        <v>4.7726390212883612E-3</v>
      </c>
      <c r="AC19" s="51">
        <f t="shared" si="18"/>
        <v>2.1654873251384038E-3</v>
      </c>
      <c r="AD19" s="51">
        <f t="shared" si="19"/>
        <v>0</v>
      </c>
      <c r="AE19" s="51">
        <f t="shared" si="28"/>
        <v>3.0000651855876663</v>
      </c>
      <c r="AF19" s="70">
        <f t="shared" si="4"/>
        <v>12</v>
      </c>
      <c r="AH19" s="1">
        <f t="shared" si="20"/>
        <v>37.199999999999996</v>
      </c>
      <c r="AI19" s="1">
        <f t="shared" si="21"/>
        <v>43.099999999999994</v>
      </c>
      <c r="AJ19" s="57">
        <f t="shared" si="5"/>
        <v>652.94608722458918</v>
      </c>
      <c r="AK19" s="1">
        <f t="shared" si="6"/>
        <v>563.56367621240634</v>
      </c>
      <c r="AL19" s="58">
        <f t="shared" si="22"/>
        <v>7.6962073180879914E-2</v>
      </c>
      <c r="AM19" s="1">
        <f t="shared" si="23"/>
        <v>8.2033013953744141E-2</v>
      </c>
      <c r="AN19" s="57">
        <f t="shared" si="24"/>
        <v>0</v>
      </c>
      <c r="AO19" s="11">
        <f>VLOOKUP($V19,Dimensionsoversigt!$A$6:$S$37,3,FALSE)</f>
        <v>3.0000000000000001E-5</v>
      </c>
      <c r="AP19" s="11">
        <f>VLOOKUP($V19,Dimensionsoversigt!$A$6:$S$37,4,FALSE)</f>
        <v>42.4</v>
      </c>
      <c r="AQ19" s="11">
        <f>VLOOKUP($V19,Dimensionsoversigt!$A$6:$S$37,5,FALSE)</f>
        <v>2.6</v>
      </c>
      <c r="AR19" s="11">
        <f>VLOOKUP($V19,Dimensionsoversigt!$A$6:$S$37,6,FALSE)</f>
        <v>48.3</v>
      </c>
      <c r="AS19" s="11">
        <f>VLOOKUP($V19,Dimensionsoversigt!$A$6:$S$37,7,FALSE)</f>
        <v>2.6</v>
      </c>
      <c r="AT19" s="11">
        <f>VLOOKUP($V19,Dimensionsoversigt!$A$6:$S$37,8,FALSE)</f>
        <v>160</v>
      </c>
      <c r="AU19" s="11">
        <f>VLOOKUP($V19,Dimensionsoversigt!$A$6:$S$37,9,FALSE)</f>
        <v>0</v>
      </c>
      <c r="AV19" s="11">
        <f>VLOOKUP($V19,Dimensionsoversigt!$A$6:$S$37,10,FALSE)</f>
        <v>11</v>
      </c>
      <c r="AW19" s="11">
        <f>VLOOKUP($V19,Dimensionsoversigt!$A$6:$S$37,11,FALSE)</f>
        <v>180</v>
      </c>
      <c r="AX19" s="11">
        <f>VLOOKUP($V19,Dimensionsoversigt!$A$6:$S$37,12,FALSE)</f>
        <v>0</v>
      </c>
      <c r="AY19" s="11">
        <f>VLOOKUP($V19,Dimensionsoversigt!$A$6:$S$37,13,FALSE)</f>
        <v>10.3</v>
      </c>
      <c r="AZ19" s="11">
        <f>VLOOKUP($V19,Dimensionsoversigt!$A$6:$S$37,14,FALSE)</f>
        <v>200</v>
      </c>
      <c r="BA19" s="11">
        <f>VLOOKUP($V19,Dimensionsoversigt!$A$6:$S$37,15,FALSE)</f>
        <v>0</v>
      </c>
      <c r="BB19" s="11">
        <f>VLOOKUP($V19,Dimensionsoversigt!$A$6:$S$37,16,FALSE)</f>
        <v>8.1300000000000008</v>
      </c>
      <c r="BC19" s="11">
        <f>VLOOKUP($V19,Dimensionsoversigt!$A$6:$S$37,17,FALSE)</f>
        <v>0</v>
      </c>
      <c r="BD19" s="11">
        <f>VLOOKUP($V19,Dimensionsoversigt!$A$6:$S$37,18,FALSE)</f>
        <v>0</v>
      </c>
      <c r="BE19" s="11">
        <f>VLOOKUP($V19,Dimensionsoversigt!$A$6:$S$37,19,FALSE)</f>
        <v>0</v>
      </c>
      <c r="BH19" s="57">
        <f t="shared" si="25"/>
        <v>0</v>
      </c>
      <c r="BJ19" s="57">
        <f t="shared" si="26"/>
        <v>0</v>
      </c>
      <c r="BL19" s="57">
        <f t="shared" si="27"/>
        <v>0</v>
      </c>
    </row>
    <row r="20" spans="2:64" ht="15.75" x14ac:dyDescent="0.25">
      <c r="B20" s="82">
        <v>7</v>
      </c>
      <c r="C20" s="81"/>
      <c r="D20" s="81"/>
      <c r="E20" s="81">
        <f t="shared" si="0"/>
        <v>1</v>
      </c>
      <c r="F20" s="88"/>
      <c r="G20" s="81"/>
      <c r="H20" s="81"/>
      <c r="I20" s="7"/>
      <c r="J20" s="52">
        <f t="shared" si="7"/>
        <v>1</v>
      </c>
      <c r="K20" s="52">
        <f t="shared" si="1"/>
        <v>1</v>
      </c>
      <c r="L20" s="52">
        <f t="shared" si="2"/>
        <v>1</v>
      </c>
      <c r="M20" s="51">
        <f>+F20+M19</f>
        <v>1</v>
      </c>
      <c r="N20" s="7">
        <f>+G20+N19</f>
        <v>0</v>
      </c>
      <c r="O20" s="7">
        <f>+H20+O19</f>
        <v>0</v>
      </c>
      <c r="P20" s="7">
        <f>+I20+P19</f>
        <v>0</v>
      </c>
      <c r="Q20" s="60">
        <f t="shared" si="9"/>
        <v>1</v>
      </c>
      <c r="R20" s="60">
        <f t="shared" si="10"/>
        <v>0</v>
      </c>
      <c r="S20" s="60">
        <f t="shared" si="11"/>
        <v>0</v>
      </c>
      <c r="T20" s="52">
        <f t="shared" si="3"/>
        <v>6.8238425057149674E-3</v>
      </c>
      <c r="U20" s="7"/>
      <c r="V20" s="53" t="s">
        <v>86</v>
      </c>
      <c r="W20" s="7">
        <f t="shared" si="12"/>
        <v>42.4</v>
      </c>
      <c r="X20" s="52">
        <f t="shared" si="13"/>
        <v>6.4065946730369645E-3</v>
      </c>
      <c r="Y20" s="51">
        <f t="shared" si="14"/>
        <v>4.2414601149864291E-3</v>
      </c>
      <c r="Z20" s="51">
        <f t="shared" si="15"/>
        <v>0</v>
      </c>
      <c r="AA20" s="7">
        <f t="shared" si="16"/>
        <v>48.3</v>
      </c>
      <c r="AB20" s="52">
        <f t="shared" si="17"/>
        <v>4.7726390212883612E-3</v>
      </c>
      <c r="AC20" s="51">
        <f t="shared" si="18"/>
        <v>2.1654873251384038E-3</v>
      </c>
      <c r="AD20" s="51">
        <f t="shared" si="19"/>
        <v>0</v>
      </c>
      <c r="AE20" s="51">
        <f t="shared" si="28"/>
        <v>3.0000651855876663</v>
      </c>
      <c r="AF20" s="70">
        <f t="shared" si="4"/>
        <v>12</v>
      </c>
      <c r="AH20" s="1">
        <f t="shared" si="20"/>
        <v>37.199999999999996</v>
      </c>
      <c r="AI20" s="1">
        <f t="shared" si="21"/>
        <v>43.099999999999994</v>
      </c>
      <c r="AJ20" s="57">
        <f t="shared" si="5"/>
        <v>652.94608722458918</v>
      </c>
      <c r="AK20" s="1">
        <f t="shared" si="6"/>
        <v>563.56367621240634</v>
      </c>
      <c r="AL20" s="58">
        <f t="shared" si="22"/>
        <v>7.6962073180879914E-2</v>
      </c>
      <c r="AM20" s="1">
        <f t="shared" si="23"/>
        <v>8.2033013953744141E-2</v>
      </c>
      <c r="AN20" s="57">
        <f t="shared" si="24"/>
        <v>0</v>
      </c>
      <c r="AO20" s="11">
        <f>VLOOKUP($V20,Dimensionsoversigt!$A$6:$S$37,3,FALSE)</f>
        <v>3.0000000000000001E-5</v>
      </c>
      <c r="AP20" s="11">
        <f>VLOOKUP($V20,Dimensionsoversigt!$A$6:$S$37,4,FALSE)</f>
        <v>42.4</v>
      </c>
      <c r="AQ20" s="11">
        <f>VLOOKUP($V20,Dimensionsoversigt!$A$6:$S$37,5,FALSE)</f>
        <v>2.6</v>
      </c>
      <c r="AR20" s="11">
        <f>VLOOKUP($V20,Dimensionsoversigt!$A$6:$S$37,6,FALSE)</f>
        <v>48.3</v>
      </c>
      <c r="AS20" s="11">
        <f>VLOOKUP($V20,Dimensionsoversigt!$A$6:$S$37,7,FALSE)</f>
        <v>2.6</v>
      </c>
      <c r="AT20" s="11">
        <f>VLOOKUP($V20,Dimensionsoversigt!$A$6:$S$37,8,FALSE)</f>
        <v>160</v>
      </c>
      <c r="AU20" s="11">
        <f>VLOOKUP($V20,Dimensionsoversigt!$A$6:$S$37,9,FALSE)</f>
        <v>0</v>
      </c>
      <c r="AV20" s="11">
        <f>VLOOKUP($V20,Dimensionsoversigt!$A$6:$S$37,10,FALSE)</f>
        <v>11</v>
      </c>
      <c r="AW20" s="11">
        <f>VLOOKUP($V20,Dimensionsoversigt!$A$6:$S$37,11,FALSE)</f>
        <v>180</v>
      </c>
      <c r="AX20" s="11">
        <f>VLOOKUP($V20,Dimensionsoversigt!$A$6:$S$37,12,FALSE)</f>
        <v>0</v>
      </c>
      <c r="AY20" s="11">
        <f>VLOOKUP($V20,Dimensionsoversigt!$A$6:$S$37,13,FALSE)</f>
        <v>10.3</v>
      </c>
      <c r="AZ20" s="11">
        <f>VLOOKUP($V20,Dimensionsoversigt!$A$6:$S$37,14,FALSE)</f>
        <v>200</v>
      </c>
      <c r="BA20" s="11">
        <f>VLOOKUP($V20,Dimensionsoversigt!$A$6:$S$37,15,FALSE)</f>
        <v>0</v>
      </c>
      <c r="BB20" s="11">
        <f>VLOOKUP($V20,Dimensionsoversigt!$A$6:$S$37,16,FALSE)</f>
        <v>8.1300000000000008</v>
      </c>
      <c r="BC20" s="11">
        <f>VLOOKUP($V20,Dimensionsoversigt!$A$6:$S$37,17,FALSE)</f>
        <v>0</v>
      </c>
      <c r="BD20" s="11">
        <f>VLOOKUP($V20,Dimensionsoversigt!$A$6:$S$37,18,FALSE)</f>
        <v>0</v>
      </c>
      <c r="BE20" s="11">
        <f>VLOOKUP($V20,Dimensionsoversigt!$A$6:$S$37,19,FALSE)</f>
        <v>0</v>
      </c>
      <c r="BH20" s="57">
        <f t="shared" si="25"/>
        <v>0</v>
      </c>
      <c r="BJ20" s="57">
        <f t="shared" si="26"/>
        <v>0</v>
      </c>
      <c r="BL20" s="57">
        <f t="shared" si="27"/>
        <v>0</v>
      </c>
    </row>
    <row r="21" spans="2:64" ht="15.75" x14ac:dyDescent="0.25">
      <c r="B21" s="82">
        <v>8</v>
      </c>
      <c r="C21" s="81"/>
      <c r="D21" s="81"/>
      <c r="E21" s="81">
        <f t="shared" si="0"/>
        <v>1</v>
      </c>
      <c r="F21" s="88"/>
      <c r="G21" s="81"/>
      <c r="H21" s="81"/>
      <c r="I21" s="7"/>
      <c r="J21" s="52">
        <f t="shared" si="7"/>
        <v>1</v>
      </c>
      <c r="K21" s="52">
        <f t="shared" si="1"/>
        <v>1</v>
      </c>
      <c r="L21" s="52">
        <f t="shared" si="2"/>
        <v>1</v>
      </c>
      <c r="M21" s="51">
        <f t="shared" si="29"/>
        <v>1</v>
      </c>
      <c r="N21" s="7">
        <f t="shared" si="30"/>
        <v>0</v>
      </c>
      <c r="O21" s="7">
        <f t="shared" si="31"/>
        <v>0</v>
      </c>
      <c r="P21" s="7">
        <f t="shared" si="32"/>
        <v>0</v>
      </c>
      <c r="Q21" s="60">
        <f t="shared" ref="Q21:Q25" si="33">+P21+M21*J21</f>
        <v>1</v>
      </c>
      <c r="R21" s="60">
        <f t="shared" ref="R21:R25" si="34">+N21*K21</f>
        <v>0</v>
      </c>
      <c r="S21" s="60">
        <f t="shared" ref="S21:S25" si="35">+O21*L21</f>
        <v>0</v>
      </c>
      <c r="T21" s="52">
        <f t="shared" si="3"/>
        <v>6.8238425057149674E-3</v>
      </c>
      <c r="U21" s="7"/>
      <c r="V21" s="53" t="s">
        <v>88</v>
      </c>
      <c r="W21" s="7">
        <f t="shared" si="12"/>
        <v>48.3</v>
      </c>
      <c r="X21" s="52">
        <f t="shared" si="13"/>
        <v>4.7726390212883621E-3</v>
      </c>
      <c r="Y21" s="51">
        <f t="shared" si="14"/>
        <v>2.1654873251384051E-3</v>
      </c>
      <c r="Z21" s="51">
        <f t="shared" si="15"/>
        <v>0</v>
      </c>
      <c r="AA21" s="7">
        <f t="shared" si="16"/>
        <v>60.3</v>
      </c>
      <c r="AB21" s="52">
        <f t="shared" si="17"/>
        <v>2.984833590551459E-3</v>
      </c>
      <c r="AC21" s="51">
        <f t="shared" si="18"/>
        <v>7.4544678228063315E-4</v>
      </c>
      <c r="AD21" s="51">
        <f t="shared" si="19"/>
        <v>0</v>
      </c>
      <c r="AE21" s="51">
        <f t="shared" si="28"/>
        <v>3.0000651855876663</v>
      </c>
      <c r="AF21" s="70">
        <f t="shared" si="4"/>
        <v>12</v>
      </c>
      <c r="AH21" s="1">
        <f t="shared" si="20"/>
        <v>43.099999999999994</v>
      </c>
      <c r="AI21" s="1">
        <f t="shared" si="21"/>
        <v>54.5</v>
      </c>
      <c r="AJ21" s="57">
        <f t="shared" si="5"/>
        <v>563.56367621240645</v>
      </c>
      <c r="AK21" s="1">
        <f t="shared" si="6"/>
        <v>445.68063201384797</v>
      </c>
      <c r="AL21" s="58">
        <f t="shared" si="22"/>
        <v>8.2033013953744141E-2</v>
      </c>
      <c r="AM21" s="1">
        <f t="shared" si="23"/>
        <v>9.1294754916701415E-2</v>
      </c>
      <c r="AN21" s="57">
        <f t="shared" si="24"/>
        <v>0</v>
      </c>
      <c r="AO21" s="11">
        <f>VLOOKUP($V21,Dimensionsoversigt!$A$6:$S$37,3,FALSE)</f>
        <v>3.0000000000000001E-5</v>
      </c>
      <c r="AP21" s="11">
        <f>VLOOKUP($V21,Dimensionsoversigt!$A$6:$S$37,4,FALSE)</f>
        <v>48.3</v>
      </c>
      <c r="AQ21" s="11">
        <f>VLOOKUP($V21,Dimensionsoversigt!$A$6:$S$37,5,FALSE)</f>
        <v>2.6</v>
      </c>
      <c r="AR21" s="11">
        <f>VLOOKUP($V21,Dimensionsoversigt!$A$6:$S$37,6,FALSE)</f>
        <v>60.3</v>
      </c>
      <c r="AS21" s="11">
        <f>VLOOKUP($V21,Dimensionsoversigt!$A$6:$S$37,7,FALSE)</f>
        <v>2.9</v>
      </c>
      <c r="AT21" s="11">
        <f>VLOOKUP($V21,Dimensionsoversigt!$A$6:$S$37,8,FALSE)</f>
        <v>200</v>
      </c>
      <c r="AU21" s="11">
        <f>VLOOKUP($V21,Dimensionsoversigt!$A$6:$S$37,9,FALSE)</f>
        <v>0</v>
      </c>
      <c r="AV21" s="11">
        <f>VLOOKUP($V21,Dimensionsoversigt!$A$6:$S$37,10,FALSE)</f>
        <v>9.81</v>
      </c>
      <c r="AW21" s="11">
        <f>VLOOKUP($V21,Dimensionsoversigt!$A$6:$S$37,11,FALSE)</f>
        <v>225</v>
      </c>
      <c r="AX21" s="11">
        <f>VLOOKUP($V21,Dimensionsoversigt!$A$6:$S$37,12,FALSE)</f>
        <v>0</v>
      </c>
      <c r="AY21" s="11">
        <f>VLOOKUP($V21,Dimensionsoversigt!$A$6:$S$37,13,FALSE)</f>
        <v>8.3699999999999992</v>
      </c>
      <c r="AZ21" s="11">
        <f>VLOOKUP($V21,Dimensionsoversigt!$A$6:$S$37,14,FALSE)</f>
        <v>250</v>
      </c>
      <c r="BA21" s="11">
        <f>VLOOKUP($V21,Dimensionsoversigt!$A$6:$S$37,15,FALSE)</f>
        <v>0</v>
      </c>
      <c r="BB21" s="11">
        <f>VLOOKUP($V21,Dimensionsoversigt!$A$6:$S$37,16,FALSE)</f>
        <v>7.49</v>
      </c>
      <c r="BC21" s="11">
        <f>VLOOKUP($V21,Dimensionsoversigt!$A$6:$S$37,17,FALSE)</f>
        <v>0</v>
      </c>
      <c r="BD21" s="11">
        <f>VLOOKUP($V21,Dimensionsoversigt!$A$6:$S$37,18,FALSE)</f>
        <v>0</v>
      </c>
      <c r="BE21" s="11">
        <f>VLOOKUP($V21,Dimensionsoversigt!$A$6:$S$37,19,FALSE)</f>
        <v>0</v>
      </c>
      <c r="BH21" s="57">
        <f t="shared" si="25"/>
        <v>0</v>
      </c>
      <c r="BJ21" s="57">
        <f t="shared" si="26"/>
        <v>0</v>
      </c>
      <c r="BL21" s="57">
        <f t="shared" si="27"/>
        <v>0</v>
      </c>
    </row>
    <row r="22" spans="2:64" ht="15.75" x14ac:dyDescent="0.25">
      <c r="B22" s="82">
        <v>9</v>
      </c>
      <c r="C22" s="81"/>
      <c r="D22" s="81"/>
      <c r="E22" s="81">
        <f t="shared" si="0"/>
        <v>1</v>
      </c>
      <c r="F22" s="88"/>
      <c r="G22" s="81"/>
      <c r="H22" s="81"/>
      <c r="I22" s="7"/>
      <c r="J22" s="52">
        <f t="shared" si="7"/>
        <v>1</v>
      </c>
      <c r="K22" s="52">
        <f t="shared" si="1"/>
        <v>1</v>
      </c>
      <c r="L22" s="52">
        <f t="shared" si="2"/>
        <v>1</v>
      </c>
      <c r="M22" s="51">
        <f t="shared" si="29"/>
        <v>1</v>
      </c>
      <c r="N22" s="7">
        <f t="shared" si="30"/>
        <v>0</v>
      </c>
      <c r="O22" s="7">
        <f t="shared" si="31"/>
        <v>0</v>
      </c>
      <c r="P22" s="7">
        <f t="shared" si="32"/>
        <v>0</v>
      </c>
      <c r="Q22" s="60">
        <f t="shared" si="33"/>
        <v>1</v>
      </c>
      <c r="R22" s="60">
        <f t="shared" si="34"/>
        <v>0</v>
      </c>
      <c r="S22" s="60">
        <f t="shared" si="35"/>
        <v>0</v>
      </c>
      <c r="T22" s="52">
        <f t="shared" si="3"/>
        <v>6.8238425057149674E-3</v>
      </c>
      <c r="U22" s="7"/>
      <c r="V22" s="53" t="str">
        <f t="shared" ref="V22:V34" si="36">V21</f>
        <v>48-60</v>
      </c>
      <c r="W22" s="7">
        <f t="shared" si="12"/>
        <v>48.3</v>
      </c>
      <c r="X22" s="52">
        <f t="shared" si="13"/>
        <v>4.7726390212883621E-3</v>
      </c>
      <c r="Y22" s="51">
        <f t="shared" si="14"/>
        <v>2.1654873251384051E-3</v>
      </c>
      <c r="Z22" s="51">
        <f t="shared" si="15"/>
        <v>0</v>
      </c>
      <c r="AA22" s="7">
        <f t="shared" si="16"/>
        <v>60.3</v>
      </c>
      <c r="AB22" s="52">
        <f t="shared" si="17"/>
        <v>2.984833590551459E-3</v>
      </c>
      <c r="AC22" s="51">
        <f t="shared" si="18"/>
        <v>7.4544678228063315E-4</v>
      </c>
      <c r="AD22" s="51">
        <f t="shared" si="19"/>
        <v>0</v>
      </c>
      <c r="AE22" s="51">
        <f t="shared" si="28"/>
        <v>3.0000651855876663</v>
      </c>
      <c r="AF22" s="70">
        <f t="shared" si="4"/>
        <v>12</v>
      </c>
      <c r="AH22" s="1">
        <f t="shared" si="20"/>
        <v>43.099999999999994</v>
      </c>
      <c r="AI22" s="1">
        <f t="shared" si="21"/>
        <v>54.5</v>
      </c>
      <c r="AJ22" s="57">
        <f t="shared" si="5"/>
        <v>563.56367621240645</v>
      </c>
      <c r="AK22" s="1">
        <f t="shared" si="6"/>
        <v>445.68063201384797</v>
      </c>
      <c r="AL22" s="58">
        <f t="shared" si="22"/>
        <v>8.2033013953744141E-2</v>
      </c>
      <c r="AM22" s="1">
        <f t="shared" si="23"/>
        <v>9.1294754916701415E-2</v>
      </c>
      <c r="AN22" s="57">
        <f t="shared" si="24"/>
        <v>0</v>
      </c>
      <c r="AO22" s="11">
        <f>VLOOKUP($V22,Dimensionsoversigt!$A$6:$S$37,3,FALSE)</f>
        <v>3.0000000000000001E-5</v>
      </c>
      <c r="AP22" s="11">
        <f>VLOOKUP($V22,Dimensionsoversigt!$A$6:$S$37,4,FALSE)</f>
        <v>48.3</v>
      </c>
      <c r="AQ22" s="11">
        <f>VLOOKUP($V22,Dimensionsoversigt!$A$6:$S$37,5,FALSE)</f>
        <v>2.6</v>
      </c>
      <c r="AR22" s="11">
        <f>VLOOKUP($V22,Dimensionsoversigt!$A$6:$S$37,6,FALSE)</f>
        <v>60.3</v>
      </c>
      <c r="AS22" s="11">
        <f>VLOOKUP($V22,Dimensionsoversigt!$A$6:$S$37,7,FALSE)</f>
        <v>2.9</v>
      </c>
      <c r="AT22" s="11">
        <f>VLOOKUP($V22,Dimensionsoversigt!$A$6:$S$37,8,FALSE)</f>
        <v>200</v>
      </c>
      <c r="AU22" s="11">
        <f>VLOOKUP($V22,Dimensionsoversigt!$A$6:$S$37,9,FALSE)</f>
        <v>0</v>
      </c>
      <c r="AV22" s="11">
        <f>VLOOKUP($V22,Dimensionsoversigt!$A$6:$S$37,10,FALSE)</f>
        <v>9.81</v>
      </c>
      <c r="AW22" s="11">
        <f>VLOOKUP($V22,Dimensionsoversigt!$A$6:$S$37,11,FALSE)</f>
        <v>225</v>
      </c>
      <c r="AX22" s="11">
        <f>VLOOKUP($V22,Dimensionsoversigt!$A$6:$S$37,12,FALSE)</f>
        <v>0</v>
      </c>
      <c r="AY22" s="11">
        <f>VLOOKUP($V22,Dimensionsoversigt!$A$6:$S$37,13,FALSE)</f>
        <v>8.3699999999999992</v>
      </c>
      <c r="AZ22" s="11">
        <f>VLOOKUP($V22,Dimensionsoversigt!$A$6:$S$37,14,FALSE)</f>
        <v>250</v>
      </c>
      <c r="BA22" s="11">
        <f>VLOOKUP($V22,Dimensionsoversigt!$A$6:$S$37,15,FALSE)</f>
        <v>0</v>
      </c>
      <c r="BB22" s="11">
        <f>VLOOKUP($V22,Dimensionsoversigt!$A$6:$S$37,16,FALSE)</f>
        <v>7.49</v>
      </c>
      <c r="BC22" s="11">
        <f>VLOOKUP($V22,Dimensionsoversigt!$A$6:$S$37,17,FALSE)</f>
        <v>0</v>
      </c>
      <c r="BD22" s="11">
        <f>VLOOKUP($V22,Dimensionsoversigt!$A$6:$S$37,18,FALSE)</f>
        <v>0</v>
      </c>
      <c r="BE22" s="11">
        <f>VLOOKUP($V22,Dimensionsoversigt!$A$6:$S$37,19,FALSE)</f>
        <v>0</v>
      </c>
      <c r="BH22" s="57">
        <f t="shared" si="25"/>
        <v>0</v>
      </c>
      <c r="BJ22" s="57">
        <f t="shared" si="26"/>
        <v>0</v>
      </c>
      <c r="BL22" s="57">
        <f t="shared" si="27"/>
        <v>0</v>
      </c>
    </row>
    <row r="23" spans="2:64" ht="15.75" x14ac:dyDescent="0.25">
      <c r="B23" s="82">
        <v>10</v>
      </c>
      <c r="C23" s="81"/>
      <c r="D23" s="81"/>
      <c r="E23" s="81">
        <f t="shared" si="0"/>
        <v>1</v>
      </c>
      <c r="F23" s="88"/>
      <c r="G23" s="81"/>
      <c r="H23" s="81"/>
      <c r="I23" s="7"/>
      <c r="J23" s="52">
        <f t="shared" si="7"/>
        <v>1</v>
      </c>
      <c r="K23" s="52">
        <f t="shared" si="1"/>
        <v>1</v>
      </c>
      <c r="L23" s="52">
        <f t="shared" si="2"/>
        <v>1</v>
      </c>
      <c r="M23" s="51">
        <f t="shared" si="29"/>
        <v>1</v>
      </c>
      <c r="N23" s="7">
        <f t="shared" si="30"/>
        <v>0</v>
      </c>
      <c r="O23" s="7">
        <f t="shared" si="31"/>
        <v>0</v>
      </c>
      <c r="P23" s="7">
        <f t="shared" si="32"/>
        <v>0</v>
      </c>
      <c r="Q23" s="60">
        <f t="shared" si="33"/>
        <v>1</v>
      </c>
      <c r="R23" s="60">
        <f t="shared" si="34"/>
        <v>0</v>
      </c>
      <c r="S23" s="60">
        <f t="shared" si="35"/>
        <v>0</v>
      </c>
      <c r="T23" s="52">
        <f t="shared" si="3"/>
        <v>6.8238425057149674E-3</v>
      </c>
      <c r="U23" s="7"/>
      <c r="V23" s="53" t="s">
        <v>88</v>
      </c>
      <c r="W23" s="7">
        <f t="shared" si="12"/>
        <v>48.3</v>
      </c>
      <c r="X23" s="52">
        <f t="shared" si="13"/>
        <v>4.7726390212883621E-3</v>
      </c>
      <c r="Y23" s="51">
        <f t="shared" si="14"/>
        <v>2.1654873251384051E-3</v>
      </c>
      <c r="Z23" s="51">
        <f t="shared" si="15"/>
        <v>0</v>
      </c>
      <c r="AA23" s="7">
        <f t="shared" si="16"/>
        <v>60.3</v>
      </c>
      <c r="AB23" s="52">
        <f t="shared" si="17"/>
        <v>2.984833590551459E-3</v>
      </c>
      <c r="AC23" s="51">
        <f t="shared" si="18"/>
        <v>7.4544678228063315E-4</v>
      </c>
      <c r="AD23" s="51">
        <f t="shared" si="19"/>
        <v>0</v>
      </c>
      <c r="AE23" s="51">
        <f t="shared" si="28"/>
        <v>3.0000651855876663</v>
      </c>
      <c r="AF23" s="70">
        <f t="shared" si="4"/>
        <v>12</v>
      </c>
      <c r="AH23" s="1">
        <f t="shared" si="20"/>
        <v>43.099999999999994</v>
      </c>
      <c r="AI23" s="1">
        <f t="shared" si="21"/>
        <v>54.5</v>
      </c>
      <c r="AJ23" s="57">
        <f t="shared" si="5"/>
        <v>563.56367621240645</v>
      </c>
      <c r="AK23" s="1">
        <f t="shared" si="6"/>
        <v>445.68063201384797</v>
      </c>
      <c r="AL23" s="58">
        <f t="shared" si="22"/>
        <v>8.2033013953744141E-2</v>
      </c>
      <c r="AM23" s="1">
        <f t="shared" si="23"/>
        <v>9.1294754916701415E-2</v>
      </c>
      <c r="AN23" s="57">
        <f t="shared" si="24"/>
        <v>0</v>
      </c>
      <c r="AO23" s="11">
        <f>VLOOKUP($V23,Dimensionsoversigt!$A$6:$S$37,3,FALSE)</f>
        <v>3.0000000000000001E-5</v>
      </c>
      <c r="AP23" s="11">
        <f>VLOOKUP($V23,Dimensionsoversigt!$A$6:$S$37,4,FALSE)</f>
        <v>48.3</v>
      </c>
      <c r="AQ23" s="11">
        <f>VLOOKUP($V23,Dimensionsoversigt!$A$6:$S$37,5,FALSE)</f>
        <v>2.6</v>
      </c>
      <c r="AR23" s="11">
        <f>VLOOKUP($V23,Dimensionsoversigt!$A$6:$S$37,6,FALSE)</f>
        <v>60.3</v>
      </c>
      <c r="AS23" s="11">
        <f>VLOOKUP($V23,Dimensionsoversigt!$A$6:$S$37,7,FALSE)</f>
        <v>2.9</v>
      </c>
      <c r="AT23" s="11">
        <f>VLOOKUP($V23,Dimensionsoversigt!$A$6:$S$37,8,FALSE)</f>
        <v>200</v>
      </c>
      <c r="AU23" s="11">
        <f>VLOOKUP($V23,Dimensionsoversigt!$A$6:$S$37,9,FALSE)</f>
        <v>0</v>
      </c>
      <c r="AV23" s="11">
        <f>VLOOKUP($V23,Dimensionsoversigt!$A$6:$S$37,10,FALSE)</f>
        <v>9.81</v>
      </c>
      <c r="AW23" s="11">
        <f>VLOOKUP($V23,Dimensionsoversigt!$A$6:$S$37,11,FALSE)</f>
        <v>225</v>
      </c>
      <c r="AX23" s="11">
        <f>VLOOKUP($V23,Dimensionsoversigt!$A$6:$S$37,12,FALSE)</f>
        <v>0</v>
      </c>
      <c r="AY23" s="11">
        <f>VLOOKUP($V23,Dimensionsoversigt!$A$6:$S$37,13,FALSE)</f>
        <v>8.3699999999999992</v>
      </c>
      <c r="AZ23" s="11">
        <f>VLOOKUP($V23,Dimensionsoversigt!$A$6:$S$37,14,FALSE)</f>
        <v>250</v>
      </c>
      <c r="BA23" s="11">
        <f>VLOOKUP($V23,Dimensionsoversigt!$A$6:$S$37,15,FALSE)</f>
        <v>0</v>
      </c>
      <c r="BB23" s="11">
        <f>VLOOKUP($V23,Dimensionsoversigt!$A$6:$S$37,16,FALSE)</f>
        <v>7.49</v>
      </c>
      <c r="BC23" s="11">
        <f>VLOOKUP($V23,Dimensionsoversigt!$A$6:$S$37,17,FALSE)</f>
        <v>0</v>
      </c>
      <c r="BD23" s="11">
        <f>VLOOKUP($V23,Dimensionsoversigt!$A$6:$S$37,18,FALSE)</f>
        <v>0</v>
      </c>
      <c r="BE23" s="11">
        <f>VLOOKUP($V23,Dimensionsoversigt!$A$6:$S$37,19,FALSE)</f>
        <v>0</v>
      </c>
      <c r="BH23" s="57">
        <f t="shared" si="25"/>
        <v>0</v>
      </c>
      <c r="BJ23" s="57">
        <f t="shared" si="26"/>
        <v>0</v>
      </c>
      <c r="BL23" s="57">
        <f t="shared" si="27"/>
        <v>0</v>
      </c>
    </row>
    <row r="24" spans="2:64" ht="15.75" x14ac:dyDescent="0.25">
      <c r="B24" s="82">
        <v>11</v>
      </c>
      <c r="C24" s="81"/>
      <c r="D24" s="81"/>
      <c r="E24" s="81">
        <f t="shared" si="0"/>
        <v>1</v>
      </c>
      <c r="F24" s="88"/>
      <c r="G24" s="81"/>
      <c r="H24" s="81"/>
      <c r="I24" s="7"/>
      <c r="J24" s="52">
        <f t="shared" si="7"/>
        <v>1</v>
      </c>
      <c r="K24" s="52">
        <f t="shared" si="1"/>
        <v>1</v>
      </c>
      <c r="L24" s="52">
        <f t="shared" si="2"/>
        <v>1</v>
      </c>
      <c r="M24" s="51">
        <f t="shared" si="29"/>
        <v>1</v>
      </c>
      <c r="N24" s="7">
        <f t="shared" si="30"/>
        <v>0</v>
      </c>
      <c r="O24" s="7">
        <f t="shared" si="31"/>
        <v>0</v>
      </c>
      <c r="P24" s="7">
        <f t="shared" si="32"/>
        <v>0</v>
      </c>
      <c r="Q24" s="60">
        <f t="shared" si="33"/>
        <v>1</v>
      </c>
      <c r="R24" s="60">
        <f t="shared" si="34"/>
        <v>0</v>
      </c>
      <c r="S24" s="60">
        <f t="shared" si="35"/>
        <v>0</v>
      </c>
      <c r="T24" s="52">
        <f t="shared" si="3"/>
        <v>6.8238425057149674E-3</v>
      </c>
      <c r="U24" s="7"/>
      <c r="V24" s="53" t="s">
        <v>90</v>
      </c>
      <c r="W24" s="7">
        <f t="shared" si="12"/>
        <v>60.3</v>
      </c>
      <c r="X24" s="52">
        <f t="shared" si="13"/>
        <v>2.9848335905514594E-3</v>
      </c>
      <c r="Y24" s="51">
        <f t="shared" si="14"/>
        <v>7.4544678228063337E-4</v>
      </c>
      <c r="Z24" s="51">
        <f t="shared" si="15"/>
        <v>0</v>
      </c>
      <c r="AA24" s="7">
        <f t="shared" si="16"/>
        <v>76.099999999999994</v>
      </c>
      <c r="AB24" s="52">
        <f t="shared" si="17"/>
        <v>1.7939175475022657E-3</v>
      </c>
      <c r="AC24" s="51">
        <f t="shared" si="18"/>
        <v>2.3624543956705601E-4</v>
      </c>
      <c r="AD24" s="51">
        <f t="shared" si="19"/>
        <v>0</v>
      </c>
      <c r="AE24" s="51">
        <f t="shared" si="28"/>
        <v>3.0000651855876663</v>
      </c>
      <c r="AF24" s="70">
        <f t="shared" si="4"/>
        <v>12</v>
      </c>
      <c r="AH24" s="1">
        <f t="shared" si="20"/>
        <v>54.5</v>
      </c>
      <c r="AI24" s="1">
        <f t="shared" si="21"/>
        <v>70.3</v>
      </c>
      <c r="AJ24" s="57">
        <f t="shared" si="5"/>
        <v>445.68063201384803</v>
      </c>
      <c r="AK24" s="1">
        <f t="shared" si="6"/>
        <v>345.51343449153228</v>
      </c>
      <c r="AL24" s="58">
        <f t="shared" si="22"/>
        <v>9.1294754916701415E-2</v>
      </c>
      <c r="AM24" s="1">
        <f t="shared" si="23"/>
        <v>0.1033205549286403</v>
      </c>
      <c r="AN24" s="57">
        <f t="shared" si="24"/>
        <v>0</v>
      </c>
      <c r="AO24" s="11">
        <f>VLOOKUP($V24,Dimensionsoversigt!$A$6:$S$37,3,FALSE)</f>
        <v>3.0000000000000001E-5</v>
      </c>
      <c r="AP24" s="11">
        <f>VLOOKUP($V24,Dimensionsoversigt!$A$6:$S$37,4,FALSE)</f>
        <v>60.3</v>
      </c>
      <c r="AQ24" s="11">
        <f>VLOOKUP($V24,Dimensionsoversigt!$A$6:$S$37,5,FALSE)</f>
        <v>2.9</v>
      </c>
      <c r="AR24" s="11">
        <f>VLOOKUP($V24,Dimensionsoversigt!$A$6:$S$37,6,FALSE)</f>
        <v>76.099999999999994</v>
      </c>
      <c r="AS24" s="11">
        <f>VLOOKUP($V24,Dimensionsoversigt!$A$6:$S$37,7,FALSE)</f>
        <v>2.9</v>
      </c>
      <c r="AT24" s="11">
        <f>VLOOKUP($V24,Dimensionsoversigt!$A$6:$S$37,8,FALSE)</f>
        <v>225</v>
      </c>
      <c r="AU24" s="11">
        <f>VLOOKUP($V24,Dimensionsoversigt!$A$6:$S$37,9,FALSE)</f>
        <v>0</v>
      </c>
      <c r="AV24" s="11">
        <f>VLOOKUP($V24,Dimensionsoversigt!$A$6:$S$37,10,FALSE)</f>
        <v>11.23</v>
      </c>
      <c r="AW24" s="11">
        <f>VLOOKUP($V24,Dimensionsoversigt!$A$6:$S$37,11,FALSE)</f>
        <v>250</v>
      </c>
      <c r="AX24" s="11">
        <f>VLOOKUP($V24,Dimensionsoversigt!$A$6:$S$37,12,FALSE)</f>
        <v>0</v>
      </c>
      <c r="AY24" s="11">
        <f>VLOOKUP($V24,Dimensionsoversigt!$A$6:$S$37,13,FALSE)</f>
        <v>9.5399999999999991</v>
      </c>
      <c r="AZ24" s="11">
        <f>VLOOKUP($V24,Dimensionsoversigt!$A$6:$S$37,14,FALSE)</f>
        <v>280</v>
      </c>
      <c r="BA24" s="11">
        <f>VLOOKUP($V24,Dimensionsoversigt!$A$6:$S$37,15,FALSE)</f>
        <v>0</v>
      </c>
      <c r="BB24" s="11">
        <f>VLOOKUP($V24,Dimensionsoversigt!$A$6:$S$37,16,FALSE)</f>
        <v>8.27</v>
      </c>
      <c r="BC24" s="11">
        <f>VLOOKUP($V24,Dimensionsoversigt!$A$6:$S$37,17,FALSE)</f>
        <v>0</v>
      </c>
      <c r="BD24" s="11">
        <f>VLOOKUP($V24,Dimensionsoversigt!$A$6:$S$37,18,FALSE)</f>
        <v>0</v>
      </c>
      <c r="BE24" s="11">
        <f>VLOOKUP($V24,Dimensionsoversigt!$A$6:$S$37,19,FALSE)</f>
        <v>0</v>
      </c>
      <c r="BH24" s="57">
        <f t="shared" si="25"/>
        <v>0</v>
      </c>
      <c r="BJ24" s="57">
        <f t="shared" si="26"/>
        <v>0</v>
      </c>
      <c r="BL24" s="57">
        <f t="shared" si="27"/>
        <v>0</v>
      </c>
    </row>
    <row r="25" spans="2:64" ht="15.75" customHeight="1" x14ac:dyDescent="0.25">
      <c r="B25" s="82">
        <v>12</v>
      </c>
      <c r="C25" s="81"/>
      <c r="D25" s="81"/>
      <c r="E25" s="81">
        <f t="shared" ref="E25:E30" si="37">+D25+E24</f>
        <v>1</v>
      </c>
      <c r="F25" s="81"/>
      <c r="G25" s="81"/>
      <c r="H25" s="81"/>
      <c r="I25" s="7"/>
      <c r="J25" s="52">
        <f t="shared" si="7"/>
        <v>1</v>
      </c>
      <c r="K25" s="52">
        <f t="shared" si="1"/>
        <v>1</v>
      </c>
      <c r="L25" s="52">
        <f t="shared" si="2"/>
        <v>1</v>
      </c>
      <c r="M25" s="51">
        <f t="shared" si="29"/>
        <v>1</v>
      </c>
      <c r="N25" s="7">
        <f t="shared" si="30"/>
        <v>0</v>
      </c>
      <c r="O25" s="7">
        <f t="shared" si="31"/>
        <v>0</v>
      </c>
      <c r="P25" s="7">
        <f t="shared" si="32"/>
        <v>0</v>
      </c>
      <c r="Q25" s="60">
        <f t="shared" si="33"/>
        <v>1</v>
      </c>
      <c r="R25" s="60">
        <f t="shared" si="34"/>
        <v>0</v>
      </c>
      <c r="S25" s="60">
        <f t="shared" si="35"/>
        <v>0</v>
      </c>
      <c r="T25" s="52">
        <f t="shared" si="3"/>
        <v>6.8238425057149674E-3</v>
      </c>
      <c r="U25" s="7"/>
      <c r="V25" s="53" t="str">
        <f t="shared" si="36"/>
        <v>60-76</v>
      </c>
      <c r="W25" s="7">
        <f t="shared" si="12"/>
        <v>60.3</v>
      </c>
      <c r="X25" s="52">
        <f t="shared" si="13"/>
        <v>2.9848335905514594E-3</v>
      </c>
      <c r="Y25" s="51">
        <f t="shared" si="14"/>
        <v>7.4544678228063337E-4</v>
      </c>
      <c r="Z25" s="51">
        <f t="shared" si="15"/>
        <v>0</v>
      </c>
      <c r="AA25" s="7">
        <f t="shared" si="16"/>
        <v>76.099999999999994</v>
      </c>
      <c r="AB25" s="52">
        <f t="shared" si="17"/>
        <v>1.7939175475022657E-3</v>
      </c>
      <c r="AC25" s="51">
        <f t="shared" si="18"/>
        <v>2.3624543956705601E-4</v>
      </c>
      <c r="AD25" s="51">
        <f t="shared" si="19"/>
        <v>0</v>
      </c>
      <c r="AE25" s="51">
        <f t="shared" si="28"/>
        <v>3.0000651855876663</v>
      </c>
      <c r="AF25" s="70">
        <f t="shared" si="4"/>
        <v>12</v>
      </c>
      <c r="AH25" s="1">
        <f t="shared" si="20"/>
        <v>54.5</v>
      </c>
      <c r="AI25" s="1">
        <f t="shared" si="21"/>
        <v>70.3</v>
      </c>
      <c r="AJ25" s="57">
        <f t="shared" si="5"/>
        <v>445.68063201384803</v>
      </c>
      <c r="AK25" s="1">
        <f t="shared" si="6"/>
        <v>345.51343449153228</v>
      </c>
      <c r="AL25" s="58">
        <f t="shared" si="22"/>
        <v>9.1294754916701415E-2</v>
      </c>
      <c r="AM25" s="1">
        <f t="shared" si="23"/>
        <v>0.1033205549286403</v>
      </c>
      <c r="AN25" s="57"/>
      <c r="AO25" s="11">
        <f>VLOOKUP($V25,Dimensionsoversigt!$A$6:$S$37,3,FALSE)</f>
        <v>3.0000000000000001E-5</v>
      </c>
      <c r="AP25" s="11">
        <f>VLOOKUP($V25,Dimensionsoversigt!$A$6:$S$37,4,FALSE)</f>
        <v>60.3</v>
      </c>
      <c r="AQ25" s="11">
        <f>VLOOKUP($V25,Dimensionsoversigt!$A$6:$S$37,5,FALSE)</f>
        <v>2.9</v>
      </c>
      <c r="AR25" s="11">
        <f>VLOOKUP($V25,Dimensionsoversigt!$A$6:$S$37,6,FALSE)</f>
        <v>76.099999999999994</v>
      </c>
      <c r="AS25" s="11">
        <f>VLOOKUP($V25,Dimensionsoversigt!$A$6:$S$37,7,FALSE)</f>
        <v>2.9</v>
      </c>
      <c r="AT25" s="11">
        <f>VLOOKUP($V25,Dimensionsoversigt!$A$6:$S$37,8,FALSE)</f>
        <v>225</v>
      </c>
      <c r="AU25" s="11">
        <f>VLOOKUP($V25,Dimensionsoversigt!$A$6:$S$37,9,FALSE)</f>
        <v>0</v>
      </c>
      <c r="AV25" s="11">
        <f>VLOOKUP($V25,Dimensionsoversigt!$A$6:$S$37,10,FALSE)</f>
        <v>11.23</v>
      </c>
      <c r="AW25" s="11">
        <f>VLOOKUP($V25,Dimensionsoversigt!$A$6:$S$37,11,FALSE)</f>
        <v>250</v>
      </c>
      <c r="AX25" s="11">
        <f>VLOOKUP($V25,Dimensionsoversigt!$A$6:$S$37,12,FALSE)</f>
        <v>0</v>
      </c>
      <c r="AY25" s="11">
        <f>VLOOKUP($V25,Dimensionsoversigt!$A$6:$S$37,13,FALSE)</f>
        <v>9.5399999999999991</v>
      </c>
      <c r="AZ25" s="11">
        <f>VLOOKUP($V25,Dimensionsoversigt!$A$6:$S$37,14,FALSE)</f>
        <v>280</v>
      </c>
      <c r="BA25" s="11">
        <f>VLOOKUP($V25,Dimensionsoversigt!$A$6:$S$37,15,FALSE)</f>
        <v>0</v>
      </c>
      <c r="BB25" s="11">
        <f>VLOOKUP($V25,Dimensionsoversigt!$A$6:$S$37,16,FALSE)</f>
        <v>8.27</v>
      </c>
      <c r="BC25" s="11">
        <f>VLOOKUP($V25,Dimensionsoversigt!$A$6:$S$37,17,FALSE)</f>
        <v>0</v>
      </c>
      <c r="BD25" s="11">
        <f>VLOOKUP($V25,Dimensionsoversigt!$A$6:$S$37,18,FALSE)</f>
        <v>0</v>
      </c>
      <c r="BE25" s="11">
        <f>VLOOKUP($V25,Dimensionsoversigt!$A$6:$S$37,19,FALSE)</f>
        <v>0</v>
      </c>
      <c r="BH25" s="57">
        <f t="shared" si="25"/>
        <v>0</v>
      </c>
      <c r="BJ25" s="57">
        <f t="shared" si="26"/>
        <v>0</v>
      </c>
      <c r="BL25" s="57">
        <f t="shared" si="27"/>
        <v>0</v>
      </c>
    </row>
    <row r="26" spans="2:64" ht="15.75" hidden="1" customHeight="1" x14ac:dyDescent="0.25">
      <c r="B26" s="82">
        <v>13</v>
      </c>
      <c r="C26" s="78"/>
      <c r="D26" s="78"/>
      <c r="E26" s="79">
        <f t="shared" si="37"/>
        <v>1</v>
      </c>
      <c r="F26" s="78"/>
      <c r="G26" s="78"/>
      <c r="H26" s="78"/>
      <c r="I26" s="7"/>
      <c r="J26" s="52">
        <f t="shared" ref="J26:J34" si="38">0.62+0.38/E26</f>
        <v>1</v>
      </c>
      <c r="K26" s="52">
        <f t="shared" ref="K26:K34" si="39">+MAX((E26^(-0.6))*(101-E26)/100,0)</f>
        <v>1</v>
      </c>
      <c r="L26" s="52">
        <f t="shared" ref="L26:L34" si="40">MAX(+(101-E26)/100/E26,0)</f>
        <v>1</v>
      </c>
      <c r="M26" s="51">
        <f t="shared" ref="M26:M34" si="41">+F26+M25</f>
        <v>1</v>
      </c>
      <c r="N26" s="7">
        <f t="shared" ref="N26:N34" si="42">+G26+N25</f>
        <v>0</v>
      </c>
      <c r="O26" s="7">
        <f t="shared" ref="O26:O34" si="43">+H26+O25</f>
        <v>0</v>
      </c>
      <c r="P26" s="7">
        <f t="shared" ref="P26:P34" si="44">+I26+P25</f>
        <v>0</v>
      </c>
      <c r="Q26" s="60">
        <f t="shared" ref="Q26:Q34" si="45">+P26+M26*J26</f>
        <v>1</v>
      </c>
      <c r="R26" s="60">
        <f t="shared" ref="R26:R34" si="46">+N26*K26</f>
        <v>0</v>
      </c>
      <c r="S26" s="60">
        <f t="shared" ref="S26:S34" si="47">+O26*L26</f>
        <v>0</v>
      </c>
      <c r="T26" s="52">
        <f t="shared" ref="T26:T34" si="48">+(Q26/$AD$7+R26/$AD$8+S26/$AD$9)/$X$7</f>
        <v>6.8238425057149674E-3</v>
      </c>
      <c r="U26" s="7"/>
      <c r="V26" s="53" t="str">
        <f t="shared" si="36"/>
        <v>60-76</v>
      </c>
      <c r="W26" s="7">
        <f t="shared" ref="W26:W34" si="49">+AP26</f>
        <v>60.3</v>
      </c>
      <c r="X26" s="52">
        <f t="shared" ref="X26:X34" si="50">4000*T26/$X$8/AH26^2/3.141592</f>
        <v>2.9848335905514594E-3</v>
      </c>
      <c r="Y26" s="51">
        <f t="shared" ref="Y26:Y34" si="51">+$X$8*(X26^2)*AL26/2/AH26*1000000/9.81</f>
        <v>7.4544678228063337E-4</v>
      </c>
      <c r="Z26" s="51">
        <f t="shared" si="15"/>
        <v>0</v>
      </c>
      <c r="AA26" s="7">
        <f t="shared" ref="AA26:AA34" si="52">+AR26</f>
        <v>76.099999999999994</v>
      </c>
      <c r="AB26" s="52">
        <f t="shared" ref="AB26:AB34" si="53">4000*T26/3.141592/$X$8/AI26^2</f>
        <v>1.7939175475022657E-3</v>
      </c>
      <c r="AC26" s="51">
        <f t="shared" ref="AC26:AC34" si="54">+$X$8*(AB26^2)*AM26/2/AI26*1000000/9.81</f>
        <v>2.3624543956705601E-4</v>
      </c>
      <c r="AD26" s="51">
        <f t="shared" ref="AD26:AD34" si="55">+AC26*C26/1000</f>
        <v>0</v>
      </c>
      <c r="AE26" s="51">
        <f t="shared" si="28"/>
        <v>3.0000651855876663</v>
      </c>
      <c r="AF26" s="70">
        <f t="shared" si="4"/>
        <v>12</v>
      </c>
      <c r="AH26" s="1">
        <f t="shared" ref="AH26:AH34" si="56">+AP26-2*AQ26</f>
        <v>54.5</v>
      </c>
      <c r="AI26" s="1">
        <f t="shared" ref="AI26:AI34" si="57">+AR26-2*AS26</f>
        <v>70.3</v>
      </c>
      <c r="AJ26" s="57">
        <f t="shared" si="5"/>
        <v>445.68063201384803</v>
      </c>
      <c r="AK26" s="1">
        <f t="shared" si="6"/>
        <v>345.51343449153228</v>
      </c>
      <c r="AL26" s="58">
        <f t="shared" ref="AL26:AL34" si="58">1/(-2*LOG(AO26/AH26/3.71*1000+(5-0.1*LOG(AO26/AH26*1000))*(AJ26^-0.9)))^2</f>
        <v>9.1294754916701415E-2</v>
      </c>
      <c r="AM26" s="1">
        <f t="shared" ref="AM26:AM34" si="59">1/(-2*LOG(AO26/AI26/3.71*1000+(5-0.1*LOG(AO26/AI26*1000))*(AK26^-0.9)))^2</f>
        <v>0.1033205549286403</v>
      </c>
      <c r="AN26" s="57"/>
      <c r="AO26" s="11">
        <f>VLOOKUP($V26,Dimensionsoversigt!$A$6:$S$37,3,FALSE)</f>
        <v>3.0000000000000001E-5</v>
      </c>
      <c r="AP26" s="11">
        <f>VLOOKUP($V26,Dimensionsoversigt!$A$6:$S$37,4,FALSE)</f>
        <v>60.3</v>
      </c>
      <c r="AQ26" s="11">
        <f>VLOOKUP($V26,Dimensionsoversigt!$A$6:$S$37,5,FALSE)</f>
        <v>2.9</v>
      </c>
      <c r="AR26" s="11">
        <f>VLOOKUP($V26,Dimensionsoversigt!$A$6:$S$37,6,FALSE)</f>
        <v>76.099999999999994</v>
      </c>
      <c r="AS26" s="11">
        <f>VLOOKUP($V26,Dimensionsoversigt!$A$6:$S$37,7,FALSE)</f>
        <v>2.9</v>
      </c>
      <c r="AT26" s="11">
        <f>VLOOKUP($V26,Dimensionsoversigt!$A$6:$S$37,8,FALSE)</f>
        <v>225</v>
      </c>
      <c r="AU26" s="11">
        <f>VLOOKUP($V26,Dimensionsoversigt!$A$6:$S$37,9,FALSE)</f>
        <v>0</v>
      </c>
      <c r="AV26" s="11">
        <f>VLOOKUP($V26,Dimensionsoversigt!$A$6:$S$37,10,FALSE)</f>
        <v>11.23</v>
      </c>
      <c r="AW26" s="11">
        <f>VLOOKUP($V26,Dimensionsoversigt!$A$6:$S$37,11,FALSE)</f>
        <v>250</v>
      </c>
      <c r="AX26" s="11">
        <f>VLOOKUP($V26,Dimensionsoversigt!$A$6:$S$37,12,FALSE)</f>
        <v>0</v>
      </c>
      <c r="AY26" s="11">
        <f>VLOOKUP($V26,Dimensionsoversigt!$A$6:$S$37,13,FALSE)</f>
        <v>9.5399999999999991</v>
      </c>
      <c r="AZ26" s="11">
        <f>VLOOKUP($V26,Dimensionsoversigt!$A$6:$S$37,14,FALSE)</f>
        <v>280</v>
      </c>
      <c r="BA26" s="11">
        <f>VLOOKUP($V26,Dimensionsoversigt!$A$6:$S$37,15,FALSE)</f>
        <v>0</v>
      </c>
      <c r="BB26" s="11">
        <f>VLOOKUP($V26,Dimensionsoversigt!$A$6:$S$37,16,FALSE)</f>
        <v>8.27</v>
      </c>
      <c r="BC26" s="11">
        <f>VLOOKUP($V26,Dimensionsoversigt!$A$6:$S$37,17,FALSE)</f>
        <v>0</v>
      </c>
      <c r="BD26" s="11">
        <f>VLOOKUP($V26,Dimensionsoversigt!$A$6:$S$37,18,FALSE)</f>
        <v>0</v>
      </c>
      <c r="BE26" s="11">
        <f>VLOOKUP($V26,Dimensionsoversigt!$A$6:$S$37,19,FALSE)</f>
        <v>0</v>
      </c>
      <c r="BH26" s="57">
        <f t="shared" si="25"/>
        <v>0</v>
      </c>
      <c r="BJ26" s="57">
        <f t="shared" si="26"/>
        <v>0</v>
      </c>
      <c r="BL26" s="57">
        <f t="shared" si="27"/>
        <v>0</v>
      </c>
    </row>
    <row r="27" spans="2:64" ht="15.75" hidden="1" customHeight="1" x14ac:dyDescent="0.25">
      <c r="B27" s="77">
        <v>14</v>
      </c>
      <c r="C27" s="76"/>
      <c r="D27" s="76"/>
      <c r="E27" s="79">
        <f t="shared" si="37"/>
        <v>1</v>
      </c>
      <c r="F27" s="76"/>
      <c r="G27" s="76"/>
      <c r="H27" s="76"/>
      <c r="I27" s="7"/>
      <c r="J27" s="52">
        <f t="shared" si="38"/>
        <v>1</v>
      </c>
      <c r="K27" s="52">
        <f t="shared" si="39"/>
        <v>1</v>
      </c>
      <c r="L27" s="52">
        <f t="shared" si="40"/>
        <v>1</v>
      </c>
      <c r="M27" s="51">
        <f t="shared" si="41"/>
        <v>1</v>
      </c>
      <c r="N27" s="7">
        <f t="shared" si="42"/>
        <v>0</v>
      </c>
      <c r="O27" s="7">
        <f t="shared" si="43"/>
        <v>0</v>
      </c>
      <c r="P27" s="7">
        <f t="shared" si="44"/>
        <v>0</v>
      </c>
      <c r="Q27" s="60">
        <f t="shared" si="45"/>
        <v>1</v>
      </c>
      <c r="R27" s="60">
        <f t="shared" si="46"/>
        <v>0</v>
      </c>
      <c r="S27" s="60">
        <f t="shared" si="47"/>
        <v>0</v>
      </c>
      <c r="T27" s="52">
        <f t="shared" si="48"/>
        <v>6.8238425057149674E-3</v>
      </c>
      <c r="U27" s="7"/>
      <c r="V27" s="53" t="str">
        <f t="shared" si="36"/>
        <v>60-76</v>
      </c>
      <c r="W27" s="7">
        <f t="shared" si="49"/>
        <v>60.3</v>
      </c>
      <c r="X27" s="52">
        <f t="shared" si="50"/>
        <v>2.9848335905514594E-3</v>
      </c>
      <c r="Y27" s="51">
        <f t="shared" si="51"/>
        <v>7.4544678228063337E-4</v>
      </c>
      <c r="Z27" s="51">
        <f t="shared" si="15"/>
        <v>0</v>
      </c>
      <c r="AA27" s="7">
        <f t="shared" si="52"/>
        <v>76.099999999999994</v>
      </c>
      <c r="AB27" s="52">
        <f t="shared" si="53"/>
        <v>1.7939175475022657E-3</v>
      </c>
      <c r="AC27" s="51">
        <f t="shared" si="54"/>
        <v>2.3624543956705601E-4</v>
      </c>
      <c r="AD27" s="51">
        <f t="shared" si="55"/>
        <v>0</v>
      </c>
      <c r="AE27" s="51">
        <f t="shared" si="28"/>
        <v>3.0000651855876663</v>
      </c>
      <c r="AF27" s="70">
        <f t="shared" si="4"/>
        <v>12</v>
      </c>
      <c r="AH27" s="1">
        <f t="shared" si="56"/>
        <v>54.5</v>
      </c>
      <c r="AI27" s="1">
        <f t="shared" si="57"/>
        <v>70.3</v>
      </c>
      <c r="AJ27" s="57">
        <f t="shared" si="5"/>
        <v>445.68063201384803</v>
      </c>
      <c r="AK27" s="1">
        <f t="shared" si="6"/>
        <v>345.51343449153228</v>
      </c>
      <c r="AL27" s="58">
        <f t="shared" si="58"/>
        <v>9.1294754916701415E-2</v>
      </c>
      <c r="AM27" s="1">
        <f t="shared" si="59"/>
        <v>0.1033205549286403</v>
      </c>
      <c r="AN27" s="57"/>
      <c r="AO27" s="11">
        <f>VLOOKUP($V27,Dimensionsoversigt!$A$6:$S$37,3,FALSE)</f>
        <v>3.0000000000000001E-5</v>
      </c>
      <c r="AP27" s="11">
        <f>VLOOKUP($V27,Dimensionsoversigt!$A$6:$S$37,4,FALSE)</f>
        <v>60.3</v>
      </c>
      <c r="AQ27" s="11">
        <f>VLOOKUP($V27,Dimensionsoversigt!$A$6:$S$37,5,FALSE)</f>
        <v>2.9</v>
      </c>
      <c r="AR27" s="11">
        <f>VLOOKUP($V27,Dimensionsoversigt!$A$6:$S$37,6,FALSE)</f>
        <v>76.099999999999994</v>
      </c>
      <c r="AS27" s="11">
        <f>VLOOKUP($V27,Dimensionsoversigt!$A$6:$S$37,7,FALSE)</f>
        <v>2.9</v>
      </c>
      <c r="AT27" s="11">
        <f>VLOOKUP($V27,Dimensionsoversigt!$A$6:$S$37,8,FALSE)</f>
        <v>225</v>
      </c>
      <c r="AU27" s="11">
        <f>VLOOKUP($V27,Dimensionsoversigt!$A$6:$S$37,9,FALSE)</f>
        <v>0</v>
      </c>
      <c r="AV27" s="11">
        <f>VLOOKUP($V27,Dimensionsoversigt!$A$6:$S$37,10,FALSE)</f>
        <v>11.23</v>
      </c>
      <c r="AW27" s="11">
        <f>VLOOKUP($V27,Dimensionsoversigt!$A$6:$S$37,11,FALSE)</f>
        <v>250</v>
      </c>
      <c r="AX27" s="11">
        <f>VLOOKUP($V27,Dimensionsoversigt!$A$6:$S$37,12,FALSE)</f>
        <v>0</v>
      </c>
      <c r="AY27" s="11">
        <f>VLOOKUP($V27,Dimensionsoversigt!$A$6:$S$37,13,FALSE)</f>
        <v>9.5399999999999991</v>
      </c>
      <c r="AZ27" s="11">
        <f>VLOOKUP($V27,Dimensionsoversigt!$A$6:$S$37,14,FALSE)</f>
        <v>280</v>
      </c>
      <c r="BA27" s="11">
        <f>VLOOKUP($V27,Dimensionsoversigt!$A$6:$S$37,15,FALSE)</f>
        <v>0</v>
      </c>
      <c r="BB27" s="11">
        <f>VLOOKUP($V27,Dimensionsoversigt!$A$6:$S$37,16,FALSE)</f>
        <v>8.27</v>
      </c>
      <c r="BC27" s="11">
        <f>VLOOKUP($V27,Dimensionsoversigt!$A$6:$S$37,17,FALSE)</f>
        <v>0</v>
      </c>
      <c r="BD27" s="11">
        <f>VLOOKUP($V27,Dimensionsoversigt!$A$6:$S$37,18,FALSE)</f>
        <v>0</v>
      </c>
      <c r="BE27" s="11">
        <f>VLOOKUP($V27,Dimensionsoversigt!$A$6:$S$37,19,FALSE)</f>
        <v>0</v>
      </c>
      <c r="BH27" s="57">
        <f t="shared" si="25"/>
        <v>0</v>
      </c>
      <c r="BJ27" s="57">
        <f t="shared" si="26"/>
        <v>0</v>
      </c>
      <c r="BL27" s="57">
        <f t="shared" si="27"/>
        <v>0</v>
      </c>
    </row>
    <row r="28" spans="2:64" ht="15.75" hidden="1" x14ac:dyDescent="0.25">
      <c r="B28" s="41">
        <v>15</v>
      </c>
      <c r="C28" s="7"/>
      <c r="D28" s="7"/>
      <c r="E28" s="79">
        <f t="shared" si="37"/>
        <v>1</v>
      </c>
      <c r="F28" s="7"/>
      <c r="G28" s="7"/>
      <c r="H28" s="7"/>
      <c r="I28" s="7"/>
      <c r="J28" s="52">
        <f t="shared" si="38"/>
        <v>1</v>
      </c>
      <c r="K28" s="52">
        <f t="shared" si="39"/>
        <v>1</v>
      </c>
      <c r="L28" s="52">
        <f t="shared" si="40"/>
        <v>1</v>
      </c>
      <c r="M28" s="51">
        <f t="shared" si="41"/>
        <v>1</v>
      </c>
      <c r="N28" s="7">
        <f t="shared" si="42"/>
        <v>0</v>
      </c>
      <c r="O28" s="7">
        <f t="shared" si="43"/>
        <v>0</v>
      </c>
      <c r="P28" s="7">
        <f t="shared" si="44"/>
        <v>0</v>
      </c>
      <c r="Q28" s="60">
        <f t="shared" si="45"/>
        <v>1</v>
      </c>
      <c r="R28" s="60">
        <f t="shared" si="46"/>
        <v>0</v>
      </c>
      <c r="S28" s="60">
        <f t="shared" si="47"/>
        <v>0</v>
      </c>
      <c r="T28" s="52">
        <f t="shared" si="48"/>
        <v>6.8238425057149674E-3</v>
      </c>
      <c r="U28" s="7"/>
      <c r="V28" s="53" t="str">
        <f t="shared" si="36"/>
        <v>60-76</v>
      </c>
      <c r="W28" s="7">
        <f t="shared" si="49"/>
        <v>60.3</v>
      </c>
      <c r="X28" s="52">
        <f t="shared" si="50"/>
        <v>2.9848335905514594E-3</v>
      </c>
      <c r="Y28" s="51">
        <f t="shared" si="51"/>
        <v>7.4544678228063337E-4</v>
      </c>
      <c r="Z28" s="51">
        <f t="shared" si="15"/>
        <v>0</v>
      </c>
      <c r="AA28" s="7">
        <f t="shared" si="52"/>
        <v>76.099999999999994</v>
      </c>
      <c r="AB28" s="52">
        <f t="shared" si="53"/>
        <v>1.7939175475022657E-3</v>
      </c>
      <c r="AC28" s="51">
        <f t="shared" si="54"/>
        <v>2.3624543956705601E-4</v>
      </c>
      <c r="AD28" s="51">
        <f t="shared" si="55"/>
        <v>0</v>
      </c>
      <c r="AE28" s="51">
        <f t="shared" si="28"/>
        <v>3.0000651855876663</v>
      </c>
      <c r="AF28" s="70">
        <f t="shared" si="4"/>
        <v>12</v>
      </c>
      <c r="AH28" s="1">
        <f t="shared" si="56"/>
        <v>54.5</v>
      </c>
      <c r="AI28" s="1">
        <f t="shared" si="57"/>
        <v>70.3</v>
      </c>
      <c r="AJ28" s="57">
        <f t="shared" si="5"/>
        <v>445.68063201384803</v>
      </c>
      <c r="AK28" s="1">
        <f t="shared" si="6"/>
        <v>345.51343449153228</v>
      </c>
      <c r="AL28" s="58">
        <f t="shared" si="58"/>
        <v>9.1294754916701415E-2</v>
      </c>
      <c r="AM28" s="1">
        <f t="shared" si="59"/>
        <v>0.1033205549286403</v>
      </c>
      <c r="AN28" s="57"/>
      <c r="AO28" s="11">
        <f>VLOOKUP($V28,Dimensionsoversigt!$A$6:$S$37,3,FALSE)</f>
        <v>3.0000000000000001E-5</v>
      </c>
      <c r="AP28" s="11">
        <f>VLOOKUP($V28,Dimensionsoversigt!$A$6:$S$37,4,FALSE)</f>
        <v>60.3</v>
      </c>
      <c r="AQ28" s="11">
        <f>VLOOKUP($V28,Dimensionsoversigt!$A$6:$S$37,5,FALSE)</f>
        <v>2.9</v>
      </c>
      <c r="AR28" s="11">
        <f>VLOOKUP($V28,Dimensionsoversigt!$A$6:$S$37,6,FALSE)</f>
        <v>76.099999999999994</v>
      </c>
      <c r="AS28" s="11">
        <f>VLOOKUP($V28,Dimensionsoversigt!$A$6:$S$37,7,FALSE)</f>
        <v>2.9</v>
      </c>
      <c r="AT28" s="11">
        <f>VLOOKUP($V28,Dimensionsoversigt!$A$6:$S$37,8,FALSE)</f>
        <v>225</v>
      </c>
      <c r="AU28" s="11">
        <f>VLOOKUP($V28,Dimensionsoversigt!$A$6:$S$37,9,FALSE)</f>
        <v>0</v>
      </c>
      <c r="AV28" s="11">
        <f>VLOOKUP($V28,Dimensionsoversigt!$A$6:$S$37,10,FALSE)</f>
        <v>11.23</v>
      </c>
      <c r="AW28" s="11">
        <f>VLOOKUP($V28,Dimensionsoversigt!$A$6:$S$37,11,FALSE)</f>
        <v>250</v>
      </c>
      <c r="AX28" s="11">
        <f>VLOOKUP($V28,Dimensionsoversigt!$A$6:$S$37,12,FALSE)</f>
        <v>0</v>
      </c>
      <c r="AY28" s="11">
        <f>VLOOKUP($V28,Dimensionsoversigt!$A$6:$S$37,13,FALSE)</f>
        <v>9.5399999999999991</v>
      </c>
      <c r="AZ28" s="11">
        <f>VLOOKUP($V28,Dimensionsoversigt!$A$6:$S$37,14,FALSE)</f>
        <v>280</v>
      </c>
      <c r="BA28" s="11">
        <f>VLOOKUP($V28,Dimensionsoversigt!$A$6:$S$37,15,FALSE)</f>
        <v>0</v>
      </c>
      <c r="BB28" s="11">
        <f>VLOOKUP($V28,Dimensionsoversigt!$A$6:$S$37,16,FALSE)</f>
        <v>8.27</v>
      </c>
      <c r="BC28" s="11">
        <f>VLOOKUP($V28,Dimensionsoversigt!$A$6:$S$37,17,FALSE)</f>
        <v>0</v>
      </c>
      <c r="BD28" s="11">
        <f>VLOOKUP($V28,Dimensionsoversigt!$A$6:$S$37,18,FALSE)</f>
        <v>0</v>
      </c>
      <c r="BE28" s="11">
        <f>VLOOKUP($V28,Dimensionsoversigt!$A$6:$S$37,19,FALSE)</f>
        <v>0</v>
      </c>
      <c r="BH28" s="57">
        <f t="shared" si="25"/>
        <v>0</v>
      </c>
      <c r="BJ28" s="57">
        <f t="shared" si="26"/>
        <v>0</v>
      </c>
      <c r="BL28" s="57">
        <f t="shared" si="27"/>
        <v>0</v>
      </c>
    </row>
    <row r="29" spans="2:64" ht="15.75" hidden="1" x14ac:dyDescent="0.25">
      <c r="B29" s="41">
        <v>16</v>
      </c>
      <c r="C29" s="7"/>
      <c r="D29" s="7"/>
      <c r="E29" s="79">
        <f t="shared" si="37"/>
        <v>1</v>
      </c>
      <c r="F29" s="7"/>
      <c r="G29" s="7"/>
      <c r="H29" s="7"/>
      <c r="I29" s="7"/>
      <c r="J29" s="52">
        <f t="shared" si="38"/>
        <v>1</v>
      </c>
      <c r="K29" s="52">
        <f t="shared" si="39"/>
        <v>1</v>
      </c>
      <c r="L29" s="52">
        <f t="shared" si="40"/>
        <v>1</v>
      </c>
      <c r="M29" s="51">
        <f t="shared" si="41"/>
        <v>1</v>
      </c>
      <c r="N29" s="7">
        <f t="shared" si="42"/>
        <v>0</v>
      </c>
      <c r="O29" s="7">
        <f t="shared" si="43"/>
        <v>0</v>
      </c>
      <c r="P29" s="7">
        <f t="shared" si="44"/>
        <v>0</v>
      </c>
      <c r="Q29" s="60">
        <f t="shared" si="45"/>
        <v>1</v>
      </c>
      <c r="R29" s="60">
        <f t="shared" si="46"/>
        <v>0</v>
      </c>
      <c r="S29" s="60">
        <f t="shared" si="47"/>
        <v>0</v>
      </c>
      <c r="T29" s="52">
        <f t="shared" si="48"/>
        <v>6.8238425057149674E-3</v>
      </c>
      <c r="U29" s="7"/>
      <c r="V29" s="53" t="str">
        <f t="shared" si="36"/>
        <v>60-76</v>
      </c>
      <c r="W29" s="7">
        <f t="shared" si="49"/>
        <v>60.3</v>
      </c>
      <c r="X29" s="52">
        <f t="shared" si="50"/>
        <v>2.9848335905514594E-3</v>
      </c>
      <c r="Y29" s="51">
        <f t="shared" si="51"/>
        <v>7.4544678228063337E-4</v>
      </c>
      <c r="Z29" s="51">
        <f t="shared" si="15"/>
        <v>0</v>
      </c>
      <c r="AA29" s="7">
        <f t="shared" si="52"/>
        <v>76.099999999999994</v>
      </c>
      <c r="AB29" s="52">
        <f t="shared" si="53"/>
        <v>1.7939175475022657E-3</v>
      </c>
      <c r="AC29" s="51">
        <f t="shared" si="54"/>
        <v>2.3624543956705601E-4</v>
      </c>
      <c r="AD29" s="51">
        <f t="shared" si="55"/>
        <v>0</v>
      </c>
      <c r="AE29" s="51">
        <f t="shared" si="28"/>
        <v>3.0000651855876663</v>
      </c>
      <c r="AF29" s="70">
        <f t="shared" si="4"/>
        <v>12</v>
      </c>
      <c r="AH29" s="1">
        <f t="shared" si="56"/>
        <v>54.5</v>
      </c>
      <c r="AI29" s="1">
        <f t="shared" si="57"/>
        <v>70.3</v>
      </c>
      <c r="AJ29" s="57">
        <f t="shared" si="5"/>
        <v>445.68063201384803</v>
      </c>
      <c r="AK29" s="1">
        <f t="shared" si="6"/>
        <v>345.51343449153228</v>
      </c>
      <c r="AL29" s="58">
        <f t="shared" si="58"/>
        <v>9.1294754916701415E-2</v>
      </c>
      <c r="AM29" s="1">
        <f t="shared" si="59"/>
        <v>0.1033205549286403</v>
      </c>
      <c r="AN29" s="57"/>
      <c r="AO29" s="11">
        <f>VLOOKUP($V29,Dimensionsoversigt!$A$6:$S$37,3,FALSE)</f>
        <v>3.0000000000000001E-5</v>
      </c>
      <c r="AP29" s="11">
        <f>VLOOKUP($V29,Dimensionsoversigt!$A$6:$S$37,4,FALSE)</f>
        <v>60.3</v>
      </c>
      <c r="AQ29" s="11">
        <f>VLOOKUP($V29,Dimensionsoversigt!$A$6:$S$37,5,FALSE)</f>
        <v>2.9</v>
      </c>
      <c r="AR29" s="11">
        <f>VLOOKUP($V29,Dimensionsoversigt!$A$6:$S$37,6,FALSE)</f>
        <v>76.099999999999994</v>
      </c>
      <c r="AS29" s="11">
        <f>VLOOKUP($V29,Dimensionsoversigt!$A$6:$S$37,7,FALSE)</f>
        <v>2.9</v>
      </c>
      <c r="AT29" s="11">
        <f>VLOOKUP($V29,Dimensionsoversigt!$A$6:$S$37,8,FALSE)</f>
        <v>225</v>
      </c>
      <c r="AU29" s="11">
        <f>VLOOKUP($V29,Dimensionsoversigt!$A$6:$S$37,9,FALSE)</f>
        <v>0</v>
      </c>
      <c r="AV29" s="11">
        <f>VLOOKUP($V29,Dimensionsoversigt!$A$6:$S$37,10,FALSE)</f>
        <v>11.23</v>
      </c>
      <c r="AW29" s="11">
        <f>VLOOKUP($V29,Dimensionsoversigt!$A$6:$S$37,11,FALSE)</f>
        <v>250</v>
      </c>
      <c r="AX29" s="11">
        <f>VLOOKUP($V29,Dimensionsoversigt!$A$6:$S$37,12,FALSE)</f>
        <v>0</v>
      </c>
      <c r="AY29" s="11">
        <f>VLOOKUP($V29,Dimensionsoversigt!$A$6:$S$37,13,FALSE)</f>
        <v>9.5399999999999991</v>
      </c>
      <c r="AZ29" s="11">
        <f>VLOOKUP($V29,Dimensionsoversigt!$A$6:$S$37,14,FALSE)</f>
        <v>280</v>
      </c>
      <c r="BA29" s="11">
        <f>VLOOKUP($V29,Dimensionsoversigt!$A$6:$S$37,15,FALSE)</f>
        <v>0</v>
      </c>
      <c r="BB29" s="11">
        <f>VLOOKUP($V29,Dimensionsoversigt!$A$6:$S$37,16,FALSE)</f>
        <v>8.27</v>
      </c>
      <c r="BC29" s="11">
        <f>VLOOKUP($V29,Dimensionsoversigt!$A$6:$S$37,17,FALSE)</f>
        <v>0</v>
      </c>
      <c r="BD29" s="11">
        <f>VLOOKUP($V29,Dimensionsoversigt!$A$6:$S$37,18,FALSE)</f>
        <v>0</v>
      </c>
      <c r="BE29" s="11">
        <f>VLOOKUP($V29,Dimensionsoversigt!$A$6:$S$37,19,FALSE)</f>
        <v>0</v>
      </c>
      <c r="BH29" s="57">
        <f t="shared" si="25"/>
        <v>0</v>
      </c>
      <c r="BJ29" s="57">
        <f t="shared" si="26"/>
        <v>0</v>
      </c>
      <c r="BL29" s="57">
        <f t="shared" si="27"/>
        <v>0</v>
      </c>
    </row>
    <row r="30" spans="2:64" ht="15.75" hidden="1" x14ac:dyDescent="0.25">
      <c r="B30" s="41">
        <v>17</v>
      </c>
      <c r="C30" s="7"/>
      <c r="D30" s="7"/>
      <c r="E30" s="79">
        <f t="shared" si="37"/>
        <v>1</v>
      </c>
      <c r="F30" s="7"/>
      <c r="G30" s="7"/>
      <c r="H30" s="7"/>
      <c r="I30" s="7"/>
      <c r="J30" s="52">
        <f t="shared" si="38"/>
        <v>1</v>
      </c>
      <c r="K30" s="52">
        <f t="shared" si="39"/>
        <v>1</v>
      </c>
      <c r="L30" s="52">
        <f t="shared" si="40"/>
        <v>1</v>
      </c>
      <c r="M30" s="51">
        <f t="shared" si="41"/>
        <v>1</v>
      </c>
      <c r="N30" s="7">
        <f t="shared" si="42"/>
        <v>0</v>
      </c>
      <c r="O30" s="7">
        <f t="shared" si="43"/>
        <v>0</v>
      </c>
      <c r="P30" s="7">
        <f t="shared" si="44"/>
        <v>0</v>
      </c>
      <c r="Q30" s="60">
        <f t="shared" si="45"/>
        <v>1</v>
      </c>
      <c r="R30" s="60">
        <f t="shared" si="46"/>
        <v>0</v>
      </c>
      <c r="S30" s="60">
        <f t="shared" si="47"/>
        <v>0</v>
      </c>
      <c r="T30" s="52">
        <f t="shared" si="48"/>
        <v>6.8238425057149674E-3</v>
      </c>
      <c r="U30" s="7"/>
      <c r="V30" s="53" t="str">
        <f t="shared" si="36"/>
        <v>60-76</v>
      </c>
      <c r="W30" s="7">
        <f t="shared" si="49"/>
        <v>60.3</v>
      </c>
      <c r="X30" s="52">
        <f t="shared" si="50"/>
        <v>2.9848335905514594E-3</v>
      </c>
      <c r="Y30" s="51">
        <f t="shared" si="51"/>
        <v>7.4544678228063337E-4</v>
      </c>
      <c r="Z30" s="51">
        <f t="shared" si="15"/>
        <v>0</v>
      </c>
      <c r="AA30" s="7">
        <f t="shared" si="52"/>
        <v>76.099999999999994</v>
      </c>
      <c r="AB30" s="52">
        <f t="shared" si="53"/>
        <v>1.7939175475022657E-3</v>
      </c>
      <c r="AC30" s="51">
        <f t="shared" si="54"/>
        <v>2.3624543956705601E-4</v>
      </c>
      <c r="AD30" s="51">
        <f t="shared" si="55"/>
        <v>0</v>
      </c>
      <c r="AE30" s="51">
        <f t="shared" si="28"/>
        <v>3.0000651855876663</v>
      </c>
      <c r="AF30" s="70">
        <f t="shared" si="4"/>
        <v>12</v>
      </c>
      <c r="AH30" s="1">
        <f t="shared" si="56"/>
        <v>54.5</v>
      </c>
      <c r="AI30" s="1">
        <f t="shared" si="57"/>
        <v>70.3</v>
      </c>
      <c r="AJ30" s="57">
        <f t="shared" si="5"/>
        <v>445.68063201384803</v>
      </c>
      <c r="AK30" s="1">
        <f t="shared" si="6"/>
        <v>345.51343449153228</v>
      </c>
      <c r="AL30" s="58">
        <f t="shared" si="58"/>
        <v>9.1294754916701415E-2</v>
      </c>
      <c r="AM30" s="1">
        <f t="shared" si="59"/>
        <v>0.1033205549286403</v>
      </c>
      <c r="AN30" s="57"/>
      <c r="AO30" s="11">
        <f>VLOOKUP($V30,Dimensionsoversigt!$A$6:$S$37,3,FALSE)</f>
        <v>3.0000000000000001E-5</v>
      </c>
      <c r="AP30" s="11">
        <f>VLOOKUP($V30,Dimensionsoversigt!$A$6:$S$37,4,FALSE)</f>
        <v>60.3</v>
      </c>
      <c r="AQ30" s="11">
        <f>VLOOKUP($V30,Dimensionsoversigt!$A$6:$S$37,5,FALSE)</f>
        <v>2.9</v>
      </c>
      <c r="AR30" s="11">
        <f>VLOOKUP($V30,Dimensionsoversigt!$A$6:$S$37,6,FALSE)</f>
        <v>76.099999999999994</v>
      </c>
      <c r="AS30" s="11">
        <f>VLOOKUP($V30,Dimensionsoversigt!$A$6:$S$37,7,FALSE)</f>
        <v>2.9</v>
      </c>
      <c r="AT30" s="11">
        <f>VLOOKUP($V30,Dimensionsoversigt!$A$6:$S$37,8,FALSE)</f>
        <v>225</v>
      </c>
      <c r="AU30" s="11">
        <f>VLOOKUP($V30,Dimensionsoversigt!$A$6:$S$37,9,FALSE)</f>
        <v>0</v>
      </c>
      <c r="AV30" s="11">
        <f>VLOOKUP($V30,Dimensionsoversigt!$A$6:$S$37,10,FALSE)</f>
        <v>11.23</v>
      </c>
      <c r="AW30" s="11">
        <f>VLOOKUP($V30,Dimensionsoversigt!$A$6:$S$37,11,FALSE)</f>
        <v>250</v>
      </c>
      <c r="AX30" s="11">
        <f>VLOOKUP($V30,Dimensionsoversigt!$A$6:$S$37,12,FALSE)</f>
        <v>0</v>
      </c>
      <c r="AY30" s="11">
        <f>VLOOKUP($V30,Dimensionsoversigt!$A$6:$S$37,13,FALSE)</f>
        <v>9.5399999999999991</v>
      </c>
      <c r="AZ30" s="11">
        <f>VLOOKUP($V30,Dimensionsoversigt!$A$6:$S$37,14,FALSE)</f>
        <v>280</v>
      </c>
      <c r="BA30" s="11">
        <f>VLOOKUP($V30,Dimensionsoversigt!$A$6:$S$37,15,FALSE)</f>
        <v>0</v>
      </c>
      <c r="BB30" s="11">
        <f>VLOOKUP($V30,Dimensionsoversigt!$A$6:$S$37,16,FALSE)</f>
        <v>8.27</v>
      </c>
      <c r="BC30" s="11">
        <f>VLOOKUP($V30,Dimensionsoversigt!$A$6:$S$37,17,FALSE)</f>
        <v>0</v>
      </c>
      <c r="BD30" s="11">
        <f>VLOOKUP($V30,Dimensionsoversigt!$A$6:$S$37,18,FALSE)</f>
        <v>0</v>
      </c>
      <c r="BE30" s="11">
        <f>VLOOKUP($V30,Dimensionsoversigt!$A$6:$S$37,19,FALSE)</f>
        <v>0</v>
      </c>
      <c r="BH30" s="57">
        <f t="shared" si="25"/>
        <v>0</v>
      </c>
      <c r="BJ30" s="57">
        <f t="shared" si="26"/>
        <v>0</v>
      </c>
      <c r="BL30" s="57">
        <f t="shared" si="27"/>
        <v>0</v>
      </c>
    </row>
    <row r="31" spans="2:64" ht="15.75" hidden="1" x14ac:dyDescent="0.25">
      <c r="B31" s="41">
        <v>18</v>
      </c>
      <c r="C31" s="7"/>
      <c r="D31" s="7"/>
      <c r="E31" s="7">
        <f t="shared" ref="E31:E34" si="60">+D31+E30</f>
        <v>1</v>
      </c>
      <c r="F31" s="7"/>
      <c r="G31" s="7"/>
      <c r="H31" s="7"/>
      <c r="I31" s="7"/>
      <c r="J31" s="52">
        <f t="shared" si="38"/>
        <v>1</v>
      </c>
      <c r="K31" s="52">
        <f t="shared" si="39"/>
        <v>1</v>
      </c>
      <c r="L31" s="52">
        <f t="shared" si="40"/>
        <v>1</v>
      </c>
      <c r="M31" s="51">
        <f t="shared" si="41"/>
        <v>1</v>
      </c>
      <c r="N31" s="7">
        <f t="shared" si="42"/>
        <v>0</v>
      </c>
      <c r="O31" s="7">
        <f t="shared" si="43"/>
        <v>0</v>
      </c>
      <c r="P31" s="7">
        <f t="shared" si="44"/>
        <v>0</v>
      </c>
      <c r="Q31" s="60">
        <f t="shared" si="45"/>
        <v>1</v>
      </c>
      <c r="R31" s="60">
        <f t="shared" si="46"/>
        <v>0</v>
      </c>
      <c r="S31" s="60">
        <f t="shared" si="47"/>
        <v>0</v>
      </c>
      <c r="T31" s="52">
        <f t="shared" si="48"/>
        <v>6.8238425057149674E-3</v>
      </c>
      <c r="U31" s="7"/>
      <c r="V31" s="53" t="str">
        <f t="shared" si="36"/>
        <v>60-76</v>
      </c>
      <c r="W31" s="7">
        <f t="shared" si="49"/>
        <v>60.3</v>
      </c>
      <c r="X31" s="52">
        <f t="shared" si="50"/>
        <v>2.9848335905514594E-3</v>
      </c>
      <c r="Y31" s="51">
        <f t="shared" si="51"/>
        <v>7.4544678228063337E-4</v>
      </c>
      <c r="Z31" s="51">
        <f t="shared" si="15"/>
        <v>0</v>
      </c>
      <c r="AA31" s="7">
        <f t="shared" si="52"/>
        <v>76.099999999999994</v>
      </c>
      <c r="AB31" s="52">
        <f t="shared" si="53"/>
        <v>1.7939175475022657E-3</v>
      </c>
      <c r="AC31" s="51">
        <f t="shared" si="54"/>
        <v>2.3624543956705601E-4</v>
      </c>
      <c r="AD31" s="51">
        <f t="shared" si="55"/>
        <v>0</v>
      </c>
      <c r="AE31" s="51">
        <f t="shared" si="28"/>
        <v>3.0000651855876663</v>
      </c>
      <c r="AF31" s="70">
        <f t="shared" si="4"/>
        <v>12</v>
      </c>
      <c r="AH31" s="1">
        <f t="shared" si="56"/>
        <v>54.5</v>
      </c>
      <c r="AI31" s="1">
        <f t="shared" si="57"/>
        <v>70.3</v>
      </c>
      <c r="AJ31" s="57">
        <f t="shared" si="5"/>
        <v>445.68063201384803</v>
      </c>
      <c r="AK31" s="1">
        <f t="shared" si="6"/>
        <v>345.51343449153228</v>
      </c>
      <c r="AL31" s="58">
        <f t="shared" si="58"/>
        <v>9.1294754916701415E-2</v>
      </c>
      <c r="AM31" s="1">
        <f t="shared" si="59"/>
        <v>0.1033205549286403</v>
      </c>
      <c r="AN31" s="57"/>
      <c r="AO31" s="11">
        <f>VLOOKUP($V31,Dimensionsoversigt!$A$6:$S$37,3,FALSE)</f>
        <v>3.0000000000000001E-5</v>
      </c>
      <c r="AP31" s="11">
        <f>VLOOKUP($V31,Dimensionsoversigt!$A$6:$S$37,4,FALSE)</f>
        <v>60.3</v>
      </c>
      <c r="AQ31" s="11">
        <f>VLOOKUP($V31,Dimensionsoversigt!$A$6:$S$37,5,FALSE)</f>
        <v>2.9</v>
      </c>
      <c r="AR31" s="11">
        <f>VLOOKUP($V31,Dimensionsoversigt!$A$6:$S$37,6,FALSE)</f>
        <v>76.099999999999994</v>
      </c>
      <c r="AS31" s="11">
        <f>VLOOKUP($V31,Dimensionsoversigt!$A$6:$S$37,7,FALSE)</f>
        <v>2.9</v>
      </c>
      <c r="AT31" s="11">
        <f>VLOOKUP($V31,Dimensionsoversigt!$A$6:$S$37,8,FALSE)</f>
        <v>225</v>
      </c>
      <c r="AU31" s="11">
        <f>VLOOKUP($V31,Dimensionsoversigt!$A$6:$S$37,9,FALSE)</f>
        <v>0</v>
      </c>
      <c r="AV31" s="11">
        <f>VLOOKUP($V31,Dimensionsoversigt!$A$6:$S$37,10,FALSE)</f>
        <v>11.23</v>
      </c>
      <c r="AW31" s="11">
        <f>VLOOKUP($V31,Dimensionsoversigt!$A$6:$S$37,11,FALSE)</f>
        <v>250</v>
      </c>
      <c r="AX31" s="11">
        <f>VLOOKUP($V31,Dimensionsoversigt!$A$6:$S$37,12,FALSE)</f>
        <v>0</v>
      </c>
      <c r="AY31" s="11">
        <f>VLOOKUP($V31,Dimensionsoversigt!$A$6:$S$37,13,FALSE)</f>
        <v>9.5399999999999991</v>
      </c>
      <c r="AZ31" s="11">
        <f>VLOOKUP($V31,Dimensionsoversigt!$A$6:$S$37,14,FALSE)</f>
        <v>280</v>
      </c>
      <c r="BA31" s="11">
        <f>VLOOKUP($V31,Dimensionsoversigt!$A$6:$S$37,15,FALSE)</f>
        <v>0</v>
      </c>
      <c r="BB31" s="11">
        <f>VLOOKUP($V31,Dimensionsoversigt!$A$6:$S$37,16,FALSE)</f>
        <v>8.27</v>
      </c>
      <c r="BC31" s="11">
        <f>VLOOKUP($V31,Dimensionsoversigt!$A$6:$S$37,17,FALSE)</f>
        <v>0</v>
      </c>
      <c r="BD31" s="11">
        <f>VLOOKUP($V31,Dimensionsoversigt!$A$6:$S$37,18,FALSE)</f>
        <v>0</v>
      </c>
      <c r="BE31" s="11">
        <f>VLOOKUP($V31,Dimensionsoversigt!$A$6:$S$37,19,FALSE)</f>
        <v>0</v>
      </c>
      <c r="BH31" s="57">
        <f t="shared" si="25"/>
        <v>0</v>
      </c>
      <c r="BJ31" s="57">
        <f t="shared" si="26"/>
        <v>0</v>
      </c>
      <c r="BL31" s="57">
        <f t="shared" si="27"/>
        <v>0</v>
      </c>
    </row>
    <row r="32" spans="2:64" ht="15.75" hidden="1" x14ac:dyDescent="0.25">
      <c r="B32" s="41">
        <v>19</v>
      </c>
      <c r="C32" s="7"/>
      <c r="D32" s="7"/>
      <c r="E32" s="7">
        <f t="shared" si="60"/>
        <v>1</v>
      </c>
      <c r="F32" s="7"/>
      <c r="G32" s="7"/>
      <c r="H32" s="7"/>
      <c r="I32" s="7"/>
      <c r="J32" s="52">
        <f t="shared" si="38"/>
        <v>1</v>
      </c>
      <c r="K32" s="52">
        <f t="shared" si="39"/>
        <v>1</v>
      </c>
      <c r="L32" s="52">
        <f t="shared" si="40"/>
        <v>1</v>
      </c>
      <c r="M32" s="51">
        <f t="shared" si="41"/>
        <v>1</v>
      </c>
      <c r="N32" s="7">
        <f t="shared" si="42"/>
        <v>0</v>
      </c>
      <c r="O32" s="7">
        <f t="shared" si="43"/>
        <v>0</v>
      </c>
      <c r="P32" s="7">
        <f t="shared" si="44"/>
        <v>0</v>
      </c>
      <c r="Q32" s="60">
        <f t="shared" si="45"/>
        <v>1</v>
      </c>
      <c r="R32" s="60">
        <f t="shared" si="46"/>
        <v>0</v>
      </c>
      <c r="S32" s="60">
        <f t="shared" si="47"/>
        <v>0</v>
      </c>
      <c r="T32" s="52">
        <f t="shared" si="48"/>
        <v>6.8238425057149674E-3</v>
      </c>
      <c r="U32" s="7"/>
      <c r="V32" s="53" t="str">
        <f t="shared" si="36"/>
        <v>60-76</v>
      </c>
      <c r="W32" s="7">
        <f t="shared" si="49"/>
        <v>60.3</v>
      </c>
      <c r="X32" s="52">
        <f t="shared" si="50"/>
        <v>2.9848335905514594E-3</v>
      </c>
      <c r="Y32" s="51">
        <f t="shared" si="51"/>
        <v>7.4544678228063337E-4</v>
      </c>
      <c r="Z32" s="51">
        <f t="shared" si="15"/>
        <v>0</v>
      </c>
      <c r="AA32" s="7">
        <f t="shared" si="52"/>
        <v>76.099999999999994</v>
      </c>
      <c r="AB32" s="52">
        <f t="shared" si="53"/>
        <v>1.7939175475022657E-3</v>
      </c>
      <c r="AC32" s="51">
        <f t="shared" si="54"/>
        <v>2.3624543956705601E-4</v>
      </c>
      <c r="AD32" s="51">
        <f t="shared" si="55"/>
        <v>0</v>
      </c>
      <c r="AE32" s="51">
        <f t="shared" si="28"/>
        <v>3.0000651855876663</v>
      </c>
      <c r="AF32" s="70">
        <f t="shared" si="4"/>
        <v>12</v>
      </c>
      <c r="AH32" s="1">
        <f t="shared" si="56"/>
        <v>54.5</v>
      </c>
      <c r="AI32" s="1">
        <f t="shared" si="57"/>
        <v>70.3</v>
      </c>
      <c r="AJ32" s="57">
        <f t="shared" si="5"/>
        <v>445.68063201384803</v>
      </c>
      <c r="AK32" s="1">
        <f t="shared" si="6"/>
        <v>345.51343449153228</v>
      </c>
      <c r="AL32" s="58">
        <f t="shared" si="58"/>
        <v>9.1294754916701415E-2</v>
      </c>
      <c r="AM32" s="1">
        <f t="shared" si="59"/>
        <v>0.1033205549286403</v>
      </c>
      <c r="AN32" s="57"/>
      <c r="AO32" s="11">
        <f>VLOOKUP($V32,Dimensionsoversigt!$A$6:$S$37,3,FALSE)</f>
        <v>3.0000000000000001E-5</v>
      </c>
      <c r="AP32" s="11">
        <f>VLOOKUP($V32,Dimensionsoversigt!$A$6:$S$37,4,FALSE)</f>
        <v>60.3</v>
      </c>
      <c r="AQ32" s="11">
        <f>VLOOKUP($V32,Dimensionsoversigt!$A$6:$S$37,5,FALSE)</f>
        <v>2.9</v>
      </c>
      <c r="AR32" s="11">
        <f>VLOOKUP($V32,Dimensionsoversigt!$A$6:$S$37,6,FALSE)</f>
        <v>76.099999999999994</v>
      </c>
      <c r="AS32" s="11">
        <f>VLOOKUP($V32,Dimensionsoversigt!$A$6:$S$37,7,FALSE)</f>
        <v>2.9</v>
      </c>
      <c r="AT32" s="11">
        <f>VLOOKUP($V32,Dimensionsoversigt!$A$6:$S$37,8,FALSE)</f>
        <v>225</v>
      </c>
      <c r="AU32" s="11">
        <f>VLOOKUP($V32,Dimensionsoversigt!$A$6:$S$37,9,FALSE)</f>
        <v>0</v>
      </c>
      <c r="AV32" s="11">
        <f>VLOOKUP($V32,Dimensionsoversigt!$A$6:$S$37,10,FALSE)</f>
        <v>11.23</v>
      </c>
      <c r="AW32" s="11">
        <f>VLOOKUP($V32,Dimensionsoversigt!$A$6:$S$37,11,FALSE)</f>
        <v>250</v>
      </c>
      <c r="AX32" s="11">
        <f>VLOOKUP($V32,Dimensionsoversigt!$A$6:$S$37,12,FALSE)</f>
        <v>0</v>
      </c>
      <c r="AY32" s="11">
        <f>VLOOKUP($V32,Dimensionsoversigt!$A$6:$S$37,13,FALSE)</f>
        <v>9.5399999999999991</v>
      </c>
      <c r="AZ32" s="11">
        <f>VLOOKUP($V32,Dimensionsoversigt!$A$6:$S$37,14,FALSE)</f>
        <v>280</v>
      </c>
      <c r="BA32" s="11">
        <f>VLOOKUP($V32,Dimensionsoversigt!$A$6:$S$37,15,FALSE)</f>
        <v>0</v>
      </c>
      <c r="BB32" s="11">
        <f>VLOOKUP($V32,Dimensionsoversigt!$A$6:$S$37,16,FALSE)</f>
        <v>8.27</v>
      </c>
      <c r="BC32" s="11">
        <f>VLOOKUP($V32,Dimensionsoversigt!$A$6:$S$37,17,FALSE)</f>
        <v>0</v>
      </c>
      <c r="BD32" s="11">
        <f>VLOOKUP($V32,Dimensionsoversigt!$A$6:$S$37,18,FALSE)</f>
        <v>0</v>
      </c>
      <c r="BE32" s="11">
        <f>VLOOKUP($V32,Dimensionsoversigt!$A$6:$S$37,19,FALSE)</f>
        <v>0</v>
      </c>
      <c r="BH32" s="57">
        <f t="shared" ref="BH32:BH34" si="61">+AV32*$C32*$BG$7</f>
        <v>0</v>
      </c>
      <c r="BJ32" s="57">
        <f t="shared" ref="BJ32:BJ34" si="62">+AY32*$C32*$BG$7</f>
        <v>0</v>
      </c>
      <c r="BL32" s="57">
        <f t="shared" ref="BL32:BL34" si="63">+BB32*$C32*$BG$7</f>
        <v>0</v>
      </c>
    </row>
    <row r="33" spans="2:64" ht="15.75" hidden="1" x14ac:dyDescent="0.25">
      <c r="B33" s="41">
        <v>20</v>
      </c>
      <c r="C33" s="7"/>
      <c r="D33" s="7"/>
      <c r="E33" s="7">
        <f t="shared" si="60"/>
        <v>1</v>
      </c>
      <c r="F33" s="7"/>
      <c r="G33" s="7"/>
      <c r="H33" s="7"/>
      <c r="I33" s="7"/>
      <c r="J33" s="52">
        <f t="shared" si="38"/>
        <v>1</v>
      </c>
      <c r="K33" s="52">
        <f t="shared" si="39"/>
        <v>1</v>
      </c>
      <c r="L33" s="52">
        <f t="shared" si="40"/>
        <v>1</v>
      </c>
      <c r="M33" s="51">
        <f t="shared" si="41"/>
        <v>1</v>
      </c>
      <c r="N33" s="7">
        <f t="shared" si="42"/>
        <v>0</v>
      </c>
      <c r="O33" s="7">
        <f t="shared" si="43"/>
        <v>0</v>
      </c>
      <c r="P33" s="7">
        <f t="shared" si="44"/>
        <v>0</v>
      </c>
      <c r="Q33" s="60">
        <f t="shared" si="45"/>
        <v>1</v>
      </c>
      <c r="R33" s="60">
        <f t="shared" si="46"/>
        <v>0</v>
      </c>
      <c r="S33" s="60">
        <f t="shared" si="47"/>
        <v>0</v>
      </c>
      <c r="T33" s="52">
        <f t="shared" si="48"/>
        <v>6.8238425057149674E-3</v>
      </c>
      <c r="U33" s="7"/>
      <c r="V33" s="53" t="str">
        <f t="shared" si="36"/>
        <v>60-76</v>
      </c>
      <c r="W33" s="7">
        <f t="shared" si="49"/>
        <v>60.3</v>
      </c>
      <c r="X33" s="52">
        <f t="shared" si="50"/>
        <v>2.9848335905514594E-3</v>
      </c>
      <c r="Y33" s="51">
        <f t="shared" si="51"/>
        <v>7.4544678228063337E-4</v>
      </c>
      <c r="Z33" s="51">
        <f t="shared" si="15"/>
        <v>0</v>
      </c>
      <c r="AA33" s="7">
        <f t="shared" si="52"/>
        <v>76.099999999999994</v>
      </c>
      <c r="AB33" s="52">
        <f t="shared" si="53"/>
        <v>1.7939175475022657E-3</v>
      </c>
      <c r="AC33" s="51">
        <f t="shared" si="54"/>
        <v>2.3624543956705601E-4</v>
      </c>
      <c r="AD33" s="51">
        <f t="shared" si="55"/>
        <v>0</v>
      </c>
      <c r="AE33" s="51">
        <f t="shared" si="28"/>
        <v>3.0000651855876663</v>
      </c>
      <c r="AF33" s="70">
        <f t="shared" si="4"/>
        <v>12</v>
      </c>
      <c r="AH33" s="1">
        <f t="shared" si="56"/>
        <v>54.5</v>
      </c>
      <c r="AI33" s="1">
        <f t="shared" si="57"/>
        <v>70.3</v>
      </c>
      <c r="AJ33" s="57">
        <f t="shared" si="5"/>
        <v>445.68063201384803</v>
      </c>
      <c r="AK33" s="1">
        <f t="shared" si="6"/>
        <v>345.51343449153228</v>
      </c>
      <c r="AL33" s="58">
        <f t="shared" si="58"/>
        <v>9.1294754916701415E-2</v>
      </c>
      <c r="AM33" s="1">
        <f t="shared" si="59"/>
        <v>0.1033205549286403</v>
      </c>
      <c r="AN33" s="57"/>
      <c r="AO33" s="11">
        <f>VLOOKUP($V33,Dimensionsoversigt!$A$6:$S$37,3,FALSE)</f>
        <v>3.0000000000000001E-5</v>
      </c>
      <c r="AP33" s="11">
        <f>VLOOKUP($V33,Dimensionsoversigt!$A$6:$S$37,4,FALSE)</f>
        <v>60.3</v>
      </c>
      <c r="AQ33" s="11">
        <f>VLOOKUP($V33,Dimensionsoversigt!$A$6:$S$37,5,FALSE)</f>
        <v>2.9</v>
      </c>
      <c r="AR33" s="11">
        <f>VLOOKUP($V33,Dimensionsoversigt!$A$6:$S$37,6,FALSE)</f>
        <v>76.099999999999994</v>
      </c>
      <c r="AS33" s="11">
        <f>VLOOKUP($V33,Dimensionsoversigt!$A$6:$S$37,7,FALSE)</f>
        <v>2.9</v>
      </c>
      <c r="AT33" s="11">
        <f>VLOOKUP($V33,Dimensionsoversigt!$A$6:$S$37,8,FALSE)</f>
        <v>225</v>
      </c>
      <c r="AU33" s="11">
        <f>VLOOKUP($V33,Dimensionsoversigt!$A$6:$S$37,9,FALSE)</f>
        <v>0</v>
      </c>
      <c r="AV33" s="11">
        <f>VLOOKUP($V33,Dimensionsoversigt!$A$6:$S$37,10,FALSE)</f>
        <v>11.23</v>
      </c>
      <c r="AW33" s="11">
        <f>VLOOKUP($V33,Dimensionsoversigt!$A$6:$S$37,11,FALSE)</f>
        <v>250</v>
      </c>
      <c r="AX33" s="11">
        <f>VLOOKUP($V33,Dimensionsoversigt!$A$6:$S$37,12,FALSE)</f>
        <v>0</v>
      </c>
      <c r="AY33" s="11">
        <f>VLOOKUP($V33,Dimensionsoversigt!$A$6:$S$37,13,FALSE)</f>
        <v>9.5399999999999991</v>
      </c>
      <c r="AZ33" s="11">
        <f>VLOOKUP($V33,Dimensionsoversigt!$A$6:$S$37,14,FALSE)</f>
        <v>280</v>
      </c>
      <c r="BA33" s="11">
        <f>VLOOKUP($V33,Dimensionsoversigt!$A$6:$S$37,15,FALSE)</f>
        <v>0</v>
      </c>
      <c r="BB33" s="11">
        <f>VLOOKUP($V33,Dimensionsoversigt!$A$6:$S$37,16,FALSE)</f>
        <v>8.27</v>
      </c>
      <c r="BC33" s="11">
        <f>VLOOKUP($V33,Dimensionsoversigt!$A$6:$S$37,17,FALSE)</f>
        <v>0</v>
      </c>
      <c r="BD33" s="11">
        <f>VLOOKUP($V33,Dimensionsoversigt!$A$6:$S$37,18,FALSE)</f>
        <v>0</v>
      </c>
      <c r="BE33" s="11">
        <f>VLOOKUP($V33,Dimensionsoversigt!$A$6:$S$37,19,FALSE)</f>
        <v>0</v>
      </c>
      <c r="BH33" s="57">
        <f t="shared" si="61"/>
        <v>0</v>
      </c>
      <c r="BJ33" s="57">
        <f t="shared" si="62"/>
        <v>0</v>
      </c>
      <c r="BL33" s="57">
        <f t="shared" si="63"/>
        <v>0</v>
      </c>
    </row>
    <row r="34" spans="2:64" ht="15.75" hidden="1" x14ac:dyDescent="0.25">
      <c r="B34" s="41">
        <v>21</v>
      </c>
      <c r="C34" s="7"/>
      <c r="D34" s="7"/>
      <c r="E34" s="7">
        <f t="shared" si="60"/>
        <v>1</v>
      </c>
      <c r="F34" s="7"/>
      <c r="G34" s="7"/>
      <c r="H34" s="7"/>
      <c r="I34" s="7"/>
      <c r="J34" s="52">
        <f t="shared" si="38"/>
        <v>1</v>
      </c>
      <c r="K34" s="52">
        <f t="shared" si="39"/>
        <v>1</v>
      </c>
      <c r="L34" s="52">
        <f t="shared" si="40"/>
        <v>1</v>
      </c>
      <c r="M34" s="7">
        <f t="shared" si="41"/>
        <v>1</v>
      </c>
      <c r="N34" s="7">
        <f t="shared" si="42"/>
        <v>0</v>
      </c>
      <c r="O34" s="7">
        <f t="shared" si="43"/>
        <v>0</v>
      </c>
      <c r="P34" s="7">
        <f t="shared" si="44"/>
        <v>0</v>
      </c>
      <c r="Q34" s="51">
        <f t="shared" si="45"/>
        <v>1</v>
      </c>
      <c r="R34" s="51">
        <f t="shared" si="46"/>
        <v>0</v>
      </c>
      <c r="S34" s="51">
        <f t="shared" si="47"/>
        <v>0</v>
      </c>
      <c r="T34" s="52">
        <f t="shared" si="48"/>
        <v>6.8238425057149674E-3</v>
      </c>
      <c r="U34" s="7"/>
      <c r="V34" s="53" t="str">
        <f t="shared" si="36"/>
        <v>60-76</v>
      </c>
      <c r="W34" s="7">
        <f t="shared" si="49"/>
        <v>60.3</v>
      </c>
      <c r="X34" s="52">
        <f t="shared" si="50"/>
        <v>2.9848335905514594E-3</v>
      </c>
      <c r="Y34" s="51">
        <f t="shared" si="51"/>
        <v>7.4544678228063337E-4</v>
      </c>
      <c r="Z34" s="51">
        <f t="shared" si="15"/>
        <v>0</v>
      </c>
      <c r="AA34" s="7">
        <f t="shared" si="52"/>
        <v>76.099999999999994</v>
      </c>
      <c r="AB34" s="52">
        <f t="shared" si="53"/>
        <v>1.7939175475022657E-3</v>
      </c>
      <c r="AC34" s="51">
        <f t="shared" si="54"/>
        <v>2.3624543956705601E-4</v>
      </c>
      <c r="AD34" s="51">
        <f t="shared" si="55"/>
        <v>0</v>
      </c>
      <c r="AE34" s="51">
        <f t="shared" si="28"/>
        <v>3.0000651855876663</v>
      </c>
      <c r="AF34" s="70">
        <f>+AF35-AD34-Z34</f>
        <v>12</v>
      </c>
      <c r="AH34" s="1">
        <f t="shared" si="56"/>
        <v>54.5</v>
      </c>
      <c r="AI34" s="1">
        <f t="shared" si="57"/>
        <v>70.3</v>
      </c>
      <c r="AJ34" s="57">
        <f t="shared" si="5"/>
        <v>445.68063201384803</v>
      </c>
      <c r="AK34" s="1">
        <f t="shared" si="6"/>
        <v>345.51343449153228</v>
      </c>
      <c r="AL34" s="58">
        <f t="shared" si="58"/>
        <v>9.1294754916701415E-2</v>
      </c>
      <c r="AM34" s="1">
        <f t="shared" si="59"/>
        <v>0.1033205549286403</v>
      </c>
      <c r="AN34" s="57"/>
      <c r="AO34" s="11">
        <f>VLOOKUP($V34,Dimensionsoversigt!$A$6:$S$37,3,FALSE)</f>
        <v>3.0000000000000001E-5</v>
      </c>
      <c r="AP34" s="11">
        <f>VLOOKUP($V34,Dimensionsoversigt!$A$6:$S$37,4,FALSE)</f>
        <v>60.3</v>
      </c>
      <c r="AQ34" s="11">
        <f>VLOOKUP($V34,Dimensionsoversigt!$A$6:$S$37,5,FALSE)</f>
        <v>2.9</v>
      </c>
      <c r="AR34" s="11">
        <f>VLOOKUP($V34,Dimensionsoversigt!$A$6:$S$37,6,FALSE)</f>
        <v>76.099999999999994</v>
      </c>
      <c r="AS34" s="11">
        <f>VLOOKUP($V34,Dimensionsoversigt!$A$6:$S$37,7,FALSE)</f>
        <v>2.9</v>
      </c>
      <c r="AT34" s="11">
        <f>VLOOKUP($V34,Dimensionsoversigt!$A$6:$S$37,8,FALSE)</f>
        <v>225</v>
      </c>
      <c r="AU34" s="11">
        <f>VLOOKUP($V34,Dimensionsoversigt!$A$6:$S$37,9,FALSE)</f>
        <v>0</v>
      </c>
      <c r="AV34" s="11">
        <f>VLOOKUP($V34,Dimensionsoversigt!$A$6:$S$37,10,FALSE)</f>
        <v>11.23</v>
      </c>
      <c r="AW34" s="11">
        <f>VLOOKUP($V34,Dimensionsoversigt!$A$6:$S$37,11,FALSE)</f>
        <v>250</v>
      </c>
      <c r="AX34" s="11">
        <f>VLOOKUP($V34,Dimensionsoversigt!$A$6:$S$37,12,FALSE)</f>
        <v>0</v>
      </c>
      <c r="AY34" s="11">
        <f>VLOOKUP($V34,Dimensionsoversigt!$A$6:$S$37,13,FALSE)</f>
        <v>9.5399999999999991</v>
      </c>
      <c r="AZ34" s="11">
        <f>VLOOKUP($V34,Dimensionsoversigt!$A$6:$S$37,14,FALSE)</f>
        <v>280</v>
      </c>
      <c r="BA34" s="11">
        <f>VLOOKUP($V34,Dimensionsoversigt!$A$6:$S$37,15,FALSE)</f>
        <v>0</v>
      </c>
      <c r="BB34" s="11">
        <f>VLOOKUP($V34,Dimensionsoversigt!$A$6:$S$37,16,FALSE)</f>
        <v>8.27</v>
      </c>
      <c r="BC34" s="11">
        <f>VLOOKUP($V34,Dimensionsoversigt!$A$6:$S$37,17,FALSE)</f>
        <v>0</v>
      </c>
      <c r="BD34" s="11">
        <f>VLOOKUP($V34,Dimensionsoversigt!$A$6:$S$37,18,FALSE)</f>
        <v>0</v>
      </c>
      <c r="BE34" s="11">
        <f>VLOOKUP($V34,Dimensionsoversigt!$A$6:$S$37,19,FALSE)</f>
        <v>0</v>
      </c>
      <c r="BH34" s="57">
        <f t="shared" si="61"/>
        <v>0</v>
      </c>
      <c r="BJ34" s="57">
        <f t="shared" si="62"/>
        <v>0</v>
      </c>
      <c r="BL34" s="57">
        <f t="shared" si="63"/>
        <v>0</v>
      </c>
    </row>
    <row r="35" spans="2:64" ht="16.5" thickBot="1" x14ac:dyDescent="0.3">
      <c r="B35" s="43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69"/>
      <c r="Z35" s="69">
        <f>SUM(Z14:Z34)</f>
        <v>5.0778096080973419E-5</v>
      </c>
      <c r="AA35" s="44"/>
      <c r="AB35" s="44"/>
      <c r="AC35" s="69"/>
      <c r="AD35" s="69">
        <f>SUM(AD14:AD34)</f>
        <v>1.4407491585713557E-5</v>
      </c>
      <c r="AE35" s="69"/>
      <c r="AF35" s="71">
        <f>+X4</f>
        <v>12</v>
      </c>
      <c r="AN35" s="57">
        <f>SUM(AN14:AN34)</f>
        <v>53.113673510497499</v>
      </c>
      <c r="AO35" s="11"/>
      <c r="AP35" s="11"/>
      <c r="AQ35" s="11"/>
      <c r="AR35" s="11"/>
      <c r="AS35" s="11"/>
      <c r="AT35" s="11"/>
      <c r="AU35" s="11"/>
      <c r="AV35" s="11"/>
      <c r="AW35" s="11"/>
      <c r="AX35" s="11"/>
      <c r="AY35" s="11"/>
      <c r="AZ35" s="11"/>
      <c r="BA35" s="11"/>
      <c r="BB35" s="11"/>
      <c r="BC35" s="11"/>
      <c r="BD35" s="11"/>
      <c r="BE35" s="11"/>
      <c r="BF35" s="1" t="s">
        <v>122</v>
      </c>
      <c r="BH35" s="57">
        <f>SUM(BH14:BH34)</f>
        <v>7.3230337078651679</v>
      </c>
      <c r="BJ35" s="57">
        <f>SUM(BJ14:BJ34)</f>
        <v>6.2667415730337073</v>
      </c>
      <c r="BL35" s="57">
        <f>SUM(BL14:BL34)</f>
        <v>5.6187640449438199</v>
      </c>
    </row>
    <row r="36" spans="2:64" x14ac:dyDescent="0.2">
      <c r="C36" s="1">
        <f>SUM(C14:C35)</f>
        <v>1</v>
      </c>
    </row>
    <row r="37" spans="2:64" ht="9" customHeight="1" thickBot="1" x14ac:dyDescent="0.25"/>
    <row r="38" spans="2:64" x14ac:dyDescent="0.2">
      <c r="B38" s="112" t="s">
        <v>123</v>
      </c>
      <c r="C38" s="113"/>
      <c r="D38" s="113"/>
      <c r="E38" s="114"/>
      <c r="F38" s="110" t="s">
        <v>45</v>
      </c>
      <c r="I38" s="112" t="s">
        <v>123</v>
      </c>
      <c r="J38" s="113"/>
      <c r="K38" s="113"/>
      <c r="L38" s="114"/>
      <c r="M38" s="66" t="s">
        <v>45</v>
      </c>
      <c r="N38" s="66" t="s">
        <v>46</v>
      </c>
      <c r="O38" s="66" t="s">
        <v>47</v>
      </c>
      <c r="T38" s="93"/>
      <c r="U38" s="13"/>
      <c r="V38" s="13" t="s">
        <v>152</v>
      </c>
      <c r="W38" s="13"/>
      <c r="X38" s="13"/>
      <c r="Y38" s="96"/>
      <c r="AA38" s="93"/>
      <c r="AB38" s="13" t="s">
        <v>153</v>
      </c>
      <c r="AC38" s="13"/>
      <c r="AD38" s="13"/>
      <c r="AE38" s="13"/>
      <c r="AF38" s="96"/>
    </row>
    <row r="39" spans="2:64" x14ac:dyDescent="0.2">
      <c r="B39" s="115"/>
      <c r="C39" s="116"/>
      <c r="D39" s="116"/>
      <c r="E39" s="117"/>
      <c r="F39" s="111"/>
      <c r="I39" s="115"/>
      <c r="J39" s="116"/>
      <c r="K39" s="116"/>
      <c r="L39" s="117"/>
      <c r="M39" s="66" t="s">
        <v>121</v>
      </c>
      <c r="N39" s="66" t="s">
        <v>121</v>
      </c>
      <c r="O39" s="66" t="s">
        <v>121</v>
      </c>
      <c r="T39" s="89"/>
      <c r="U39" s="80"/>
      <c r="V39" s="80" t="s">
        <v>139</v>
      </c>
      <c r="W39" s="80" t="s">
        <v>140</v>
      </c>
      <c r="X39" s="80" t="s">
        <v>141</v>
      </c>
      <c r="Y39" s="90" t="s">
        <v>142</v>
      </c>
      <c r="AA39" s="94"/>
      <c r="AB39" s="95"/>
      <c r="AC39" s="80" t="s">
        <v>139</v>
      </c>
      <c r="AD39" s="80" t="s">
        <v>140</v>
      </c>
      <c r="AE39" s="80" t="s">
        <v>141</v>
      </c>
      <c r="AF39" s="90" t="s">
        <v>142</v>
      </c>
    </row>
    <row r="40" spans="2:64" x14ac:dyDescent="0.2">
      <c r="B40" s="107"/>
      <c r="C40" s="108"/>
      <c r="D40" s="108"/>
      <c r="E40" s="109"/>
      <c r="F40" s="67">
        <f>+BA35</f>
        <v>0</v>
      </c>
      <c r="I40" s="107" t="s">
        <v>124</v>
      </c>
      <c r="J40" s="108"/>
      <c r="K40" s="108"/>
      <c r="L40" s="109"/>
      <c r="M40" s="67">
        <f>+BH35</f>
        <v>7.3230337078651679</v>
      </c>
      <c r="N40" s="67">
        <f>+BJ35</f>
        <v>6.2667415730337073</v>
      </c>
      <c r="O40" s="67">
        <f>+BL35</f>
        <v>5.6187640449438199</v>
      </c>
      <c r="Q40" s="73"/>
      <c r="T40" s="89" t="s">
        <v>137</v>
      </c>
      <c r="U40" s="80"/>
      <c r="V40" s="80"/>
      <c r="W40" s="80"/>
      <c r="X40" s="80">
        <v>5.8</v>
      </c>
      <c r="Y40" s="91">
        <f t="shared" ref="Y40:Y45" si="64">+X40*W40*V40</f>
        <v>0</v>
      </c>
      <c r="AA40" s="94" t="s">
        <v>143</v>
      </c>
      <c r="AB40" s="95"/>
      <c r="AC40" s="80"/>
      <c r="AD40" s="80"/>
      <c r="AE40" s="80">
        <v>5.5</v>
      </c>
      <c r="AF40" s="91">
        <f t="shared" ref="AF40:AF45" si="65">+AE40*AD40*AC40</f>
        <v>0</v>
      </c>
    </row>
    <row r="41" spans="2:64" x14ac:dyDescent="0.2">
      <c r="B41" s="107" t="s">
        <v>130</v>
      </c>
      <c r="C41" s="108"/>
      <c r="D41" s="108"/>
      <c r="E41" s="109"/>
      <c r="F41" s="68">
        <v>400</v>
      </c>
      <c r="I41" s="107" t="s">
        <v>125</v>
      </c>
      <c r="J41" s="108"/>
      <c r="K41" s="108"/>
      <c r="L41" s="109"/>
      <c r="M41" s="72"/>
      <c r="N41" s="72"/>
      <c r="O41" s="72"/>
      <c r="T41" s="89" t="s">
        <v>138</v>
      </c>
      <c r="U41" s="80"/>
      <c r="V41" s="80"/>
      <c r="W41" s="80"/>
      <c r="X41" s="80">
        <v>7.2</v>
      </c>
      <c r="Y41" s="91">
        <f t="shared" si="64"/>
        <v>0</v>
      </c>
      <c r="AA41" s="94" t="s">
        <v>144</v>
      </c>
      <c r="AB41" s="95"/>
      <c r="AC41" s="80"/>
      <c r="AD41" s="80"/>
      <c r="AE41" s="80">
        <v>6.5</v>
      </c>
      <c r="AF41" s="91">
        <f t="shared" si="65"/>
        <v>0</v>
      </c>
    </row>
    <row r="42" spans="2:64" x14ac:dyDescent="0.2">
      <c r="B42" s="107" t="s">
        <v>131</v>
      </c>
      <c r="C42" s="108"/>
      <c r="D42" s="108"/>
      <c r="E42" s="109"/>
      <c r="F42" s="68">
        <v>30</v>
      </c>
      <c r="I42" s="107" t="s">
        <v>126</v>
      </c>
      <c r="J42" s="108"/>
      <c r="K42" s="108"/>
      <c r="L42" s="109"/>
      <c r="M42" s="68"/>
      <c r="N42" s="68"/>
      <c r="O42" s="68"/>
      <c r="T42" s="89" t="s">
        <v>156</v>
      </c>
      <c r="U42" s="80"/>
      <c r="V42" s="80"/>
      <c r="W42" s="80"/>
      <c r="X42" s="80">
        <v>7.99</v>
      </c>
      <c r="Y42" s="91">
        <f t="shared" si="64"/>
        <v>0</v>
      </c>
      <c r="AA42" s="94" t="s">
        <v>145</v>
      </c>
      <c r="AB42" s="95"/>
      <c r="AC42" s="80"/>
      <c r="AD42" s="80"/>
      <c r="AE42" s="80">
        <v>8.1999999999999993</v>
      </c>
      <c r="AF42" s="91">
        <f t="shared" si="65"/>
        <v>0</v>
      </c>
    </row>
    <row r="43" spans="2:64" x14ac:dyDescent="0.2">
      <c r="B43" s="107"/>
      <c r="C43" s="108"/>
      <c r="D43" s="108"/>
      <c r="E43" s="109"/>
      <c r="F43" s="68"/>
      <c r="I43" s="107" t="s">
        <v>127</v>
      </c>
      <c r="J43" s="108"/>
      <c r="K43" s="108"/>
      <c r="L43" s="109"/>
      <c r="M43" s="68"/>
      <c r="N43" s="68"/>
      <c r="O43" s="68"/>
      <c r="T43" s="89" t="s">
        <v>154</v>
      </c>
      <c r="U43" s="80"/>
      <c r="V43" s="80"/>
      <c r="W43" s="80"/>
      <c r="X43" s="80">
        <v>5.27</v>
      </c>
      <c r="Y43" s="91">
        <f t="shared" si="64"/>
        <v>0</v>
      </c>
      <c r="AA43" s="94" t="s">
        <v>146</v>
      </c>
      <c r="AB43" s="95"/>
      <c r="AC43" s="80"/>
      <c r="AD43" s="80"/>
      <c r="AE43" s="80">
        <v>5</v>
      </c>
      <c r="AF43" s="91">
        <f t="shared" si="65"/>
        <v>0</v>
      </c>
    </row>
    <row r="44" spans="2:64" x14ac:dyDescent="0.2">
      <c r="B44" s="107"/>
      <c r="C44" s="108"/>
      <c r="D44" s="108"/>
      <c r="E44" s="109"/>
      <c r="F44" s="68"/>
      <c r="I44" s="107" t="s">
        <v>128</v>
      </c>
      <c r="J44" s="108"/>
      <c r="K44" s="108"/>
      <c r="L44" s="109"/>
      <c r="M44" s="68"/>
      <c r="N44" s="68"/>
      <c r="O44" s="68"/>
      <c r="T44" s="89" t="s">
        <v>155</v>
      </c>
      <c r="U44" s="80"/>
      <c r="V44" s="80"/>
      <c r="W44" s="80"/>
      <c r="X44" s="80">
        <v>6.29</v>
      </c>
      <c r="Y44" s="91">
        <f t="shared" si="64"/>
        <v>0</v>
      </c>
      <c r="AA44" s="94" t="s">
        <v>147</v>
      </c>
      <c r="AB44" s="95"/>
      <c r="AC44" s="80"/>
      <c r="AD44" s="80"/>
      <c r="AE44" s="80">
        <v>5.9</v>
      </c>
      <c r="AF44" s="91">
        <f t="shared" si="65"/>
        <v>0</v>
      </c>
    </row>
    <row r="45" spans="2:64" x14ac:dyDescent="0.2">
      <c r="B45" s="107"/>
      <c r="C45" s="108"/>
      <c r="D45" s="108"/>
      <c r="E45" s="109"/>
      <c r="F45" s="68"/>
      <c r="I45" s="107" t="s">
        <v>133</v>
      </c>
      <c r="J45" s="108"/>
      <c r="K45" s="108"/>
      <c r="L45" s="109"/>
      <c r="M45" s="68">
        <f>+Y50+AF52</f>
        <v>0</v>
      </c>
      <c r="N45" s="68">
        <f>+M45</f>
        <v>0</v>
      </c>
      <c r="O45" s="68">
        <f t="shared" ref="O45:P45" si="66">+N45</f>
        <v>0</v>
      </c>
      <c r="T45" s="89" t="s">
        <v>136</v>
      </c>
      <c r="U45" s="80"/>
      <c r="V45" s="80"/>
      <c r="W45" s="80"/>
      <c r="X45" s="80">
        <v>6.06</v>
      </c>
      <c r="Y45" s="91">
        <f t="shared" si="64"/>
        <v>0</v>
      </c>
      <c r="AA45" s="94" t="s">
        <v>148</v>
      </c>
      <c r="AB45" s="95"/>
      <c r="AC45" s="80"/>
      <c r="AD45" s="80"/>
      <c r="AE45" s="80">
        <v>7.2</v>
      </c>
      <c r="AF45" s="91">
        <f t="shared" si="65"/>
        <v>0</v>
      </c>
    </row>
    <row r="46" spans="2:64" x14ac:dyDescent="0.2">
      <c r="I46" s="107" t="s">
        <v>129</v>
      </c>
      <c r="J46" s="108"/>
      <c r="K46" s="108"/>
      <c r="L46" s="109"/>
      <c r="M46" s="99">
        <f>SUM(M40:M45)</f>
        <v>7.3230337078651679</v>
      </c>
      <c r="N46" s="67">
        <f t="shared" ref="N46:O46" si="67">SUM(N40:N45)</f>
        <v>6.2667415730337073</v>
      </c>
      <c r="O46" s="67">
        <f t="shared" si="67"/>
        <v>5.6187640449438199</v>
      </c>
      <c r="Q46" s="73"/>
      <c r="T46" s="89" t="s">
        <v>134</v>
      </c>
      <c r="U46" s="80"/>
      <c r="V46" s="80"/>
      <c r="W46" s="80"/>
      <c r="X46" s="80">
        <v>4.38</v>
      </c>
      <c r="Y46" s="91">
        <f>+X46*W46*V46</f>
        <v>0</v>
      </c>
      <c r="AA46" s="94" t="s">
        <v>149</v>
      </c>
      <c r="AB46" s="95"/>
      <c r="AC46" s="80"/>
      <c r="AD46" s="80"/>
      <c r="AE46" s="80">
        <v>4.2</v>
      </c>
      <c r="AF46" s="91">
        <f>+AE46*AD46*AC46</f>
        <v>0</v>
      </c>
    </row>
    <row r="47" spans="2:64" x14ac:dyDescent="0.2">
      <c r="I47" s="107" t="s">
        <v>164</v>
      </c>
      <c r="J47" s="108"/>
      <c r="K47" s="108"/>
      <c r="L47" s="109"/>
      <c r="M47" s="75">
        <f>+M46*$F$41*$F$42*8760/1000000000</f>
        <v>0.76979730337078645</v>
      </c>
      <c r="N47" s="75">
        <f>+N46*$F$41*$F$42*8760/1000000000</f>
        <v>0.6587598741573033</v>
      </c>
      <c r="O47" s="75">
        <f>+O46*$F$41*$F$42*8760/1000000000</f>
        <v>0.59064447640449425</v>
      </c>
      <c r="T47" s="89" t="s">
        <v>135</v>
      </c>
      <c r="U47" s="80"/>
      <c r="V47" s="80"/>
      <c r="W47" s="80"/>
      <c r="X47" s="80">
        <v>5.04</v>
      </c>
      <c r="Y47" s="91">
        <f t="shared" ref="Y47:Y48" si="68">+X47*W47*V47</f>
        <v>0</v>
      </c>
      <c r="AA47" s="94" t="s">
        <v>150</v>
      </c>
      <c r="AB47" s="95"/>
      <c r="AC47" s="80"/>
      <c r="AD47" s="80"/>
      <c r="AE47" s="80">
        <v>4.8</v>
      </c>
      <c r="AF47" s="91">
        <f t="shared" ref="AF47:AF48" si="69">+AE47*AD47*AC47</f>
        <v>0</v>
      </c>
    </row>
    <row r="48" spans="2:64" x14ac:dyDescent="0.2">
      <c r="T48" s="89" t="s">
        <v>158</v>
      </c>
      <c r="U48" s="80"/>
      <c r="V48" s="80"/>
      <c r="W48" s="80"/>
      <c r="X48" s="80">
        <v>5.17</v>
      </c>
      <c r="Y48" s="91">
        <f t="shared" si="68"/>
        <v>0</v>
      </c>
      <c r="AA48" s="94" t="s">
        <v>151</v>
      </c>
      <c r="AB48" s="95"/>
      <c r="AC48" s="80"/>
      <c r="AD48" s="80"/>
      <c r="AE48" s="80">
        <v>4.9000000000000004</v>
      </c>
      <c r="AF48" s="91">
        <f t="shared" si="69"/>
        <v>0</v>
      </c>
    </row>
    <row r="49" spans="9:32" ht="15.75" customHeight="1" thickBot="1" x14ac:dyDescent="0.3">
      <c r="I49" s="106" t="s">
        <v>132</v>
      </c>
      <c r="J49" s="106"/>
      <c r="K49" s="106"/>
      <c r="L49" s="106"/>
      <c r="M49" s="74">
        <f>+M46*8.76/1000</f>
        <v>6.4149775280898866E-2</v>
      </c>
      <c r="N49" s="74">
        <f t="shared" ref="N49:O49" si="70">+N46*8.76/1000</f>
        <v>5.489665617977528E-2</v>
      </c>
      <c r="O49" s="74">
        <f t="shared" si="70"/>
        <v>4.9220373033707861E-2</v>
      </c>
      <c r="T49" s="103" t="s">
        <v>163</v>
      </c>
      <c r="U49" s="104"/>
      <c r="V49" s="104"/>
      <c r="W49" s="104"/>
      <c r="X49" s="105"/>
      <c r="Y49" s="92">
        <f>SUM(Y40:Y48)</f>
        <v>0</v>
      </c>
      <c r="AA49" s="94" t="s">
        <v>159</v>
      </c>
      <c r="AB49" s="95"/>
      <c r="AC49" s="80"/>
      <c r="AD49" s="80"/>
      <c r="AE49" s="80">
        <v>7.1</v>
      </c>
      <c r="AF49" s="91">
        <f t="shared" ref="AF49" si="71">+AE49*AD49*AC49</f>
        <v>0</v>
      </c>
    </row>
    <row r="50" spans="9:32" ht="21.75" customHeight="1" thickBot="1" x14ac:dyDescent="0.3">
      <c r="T50" s="100" t="s">
        <v>161</v>
      </c>
      <c r="U50" s="101"/>
      <c r="V50" s="101"/>
      <c r="W50" s="101"/>
      <c r="X50" s="101"/>
      <c r="Y50" s="102">
        <f>+($AD$3+$AD$4-16)/89*Y49</f>
        <v>0</v>
      </c>
      <c r="AA50" s="94" t="s">
        <v>160</v>
      </c>
      <c r="AB50" s="95"/>
      <c r="AC50" s="80"/>
      <c r="AD50" s="80"/>
      <c r="AE50" s="80">
        <v>5.8</v>
      </c>
      <c r="AF50" s="91">
        <f t="shared" ref="AF50" si="72">+AE50*AD50*AC50</f>
        <v>0</v>
      </c>
    </row>
    <row r="51" spans="9:32" ht="16.5" thickBot="1" x14ac:dyDescent="0.3">
      <c r="AA51" s="103" t="s">
        <v>162</v>
      </c>
      <c r="AB51" s="104"/>
      <c r="AC51" s="104"/>
      <c r="AD51" s="104"/>
      <c r="AE51" s="105"/>
      <c r="AF51" s="92">
        <f>SUM(AF40:AF50)</f>
        <v>0</v>
      </c>
    </row>
    <row r="52" spans="9:32" ht="16.5" thickBot="1" x14ac:dyDescent="0.3">
      <c r="AA52" s="100" t="s">
        <v>161</v>
      </c>
      <c r="AB52" s="101"/>
      <c r="AC52" s="101"/>
      <c r="AD52" s="101"/>
      <c r="AE52" s="101"/>
      <c r="AF52" s="102">
        <f>+($AD$3+$AD$4-16)/89*AF51</f>
        <v>0</v>
      </c>
    </row>
  </sheetData>
  <mergeCells count="35">
    <mergeCell ref="N8:Q9"/>
    <mergeCell ref="N3:Q4"/>
    <mergeCell ref="N5:Q6"/>
    <mergeCell ref="N7:Q7"/>
    <mergeCell ref="C8:G9"/>
    <mergeCell ref="H8:I9"/>
    <mergeCell ref="W6:X6"/>
    <mergeCell ref="AT9:BE9"/>
    <mergeCell ref="AT10:AV10"/>
    <mergeCell ref="AW10:AY10"/>
    <mergeCell ref="AZ10:BB10"/>
    <mergeCell ref="BC10:BE10"/>
    <mergeCell ref="I46:L46"/>
    <mergeCell ref="BG10:BH10"/>
    <mergeCell ref="BI10:BJ10"/>
    <mergeCell ref="BK10:BL10"/>
    <mergeCell ref="I40:L40"/>
    <mergeCell ref="I41:L41"/>
    <mergeCell ref="I38:L39"/>
    <mergeCell ref="B44:E44"/>
    <mergeCell ref="B45:E45"/>
    <mergeCell ref="F38:F39"/>
    <mergeCell ref="I42:L42"/>
    <mergeCell ref="I43:L43"/>
    <mergeCell ref="I44:L44"/>
    <mergeCell ref="I45:L45"/>
    <mergeCell ref="B38:E39"/>
    <mergeCell ref="B40:E40"/>
    <mergeCell ref="B41:E41"/>
    <mergeCell ref="B42:E42"/>
    <mergeCell ref="B43:E43"/>
    <mergeCell ref="T49:X49"/>
    <mergeCell ref="AA51:AE51"/>
    <mergeCell ref="I49:L49"/>
    <mergeCell ref="I47:L47"/>
  </mergeCells>
  <dataValidations disablePrompts="1" count="1">
    <dataValidation type="list" allowBlank="1" showInputMessage="1" showErrorMessage="1" sqref="V14:V34">
      <formula1>Dimensioner</formula1>
    </dataValidation>
  </dataValidations>
  <pageMargins left="0.7" right="0.7" top="0.75" bottom="0.75" header="0.3" footer="0.3"/>
  <pageSetup paperSize="9" scale="51" orientation="landscape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9"/>
  <sheetViews>
    <sheetView workbookViewId="0">
      <selection activeCell="H39" sqref="H39"/>
    </sheetView>
  </sheetViews>
  <sheetFormatPr defaultRowHeight="15" x14ac:dyDescent="0.25"/>
  <cols>
    <col min="10" max="10" width="9" customWidth="1"/>
  </cols>
  <sheetData>
    <row r="1" spans="1:19" x14ac:dyDescent="0.25">
      <c r="C1">
        <v>1</v>
      </c>
      <c r="D1">
        <v>2</v>
      </c>
      <c r="E1">
        <v>3</v>
      </c>
      <c r="F1">
        <v>4</v>
      </c>
      <c r="G1">
        <v>5</v>
      </c>
      <c r="H1">
        <v>6</v>
      </c>
      <c r="I1">
        <v>7</v>
      </c>
      <c r="J1">
        <v>8</v>
      </c>
      <c r="K1">
        <v>9</v>
      </c>
    </row>
    <row r="2" spans="1:19" x14ac:dyDescent="0.25">
      <c r="B2" s="11"/>
      <c r="C2" s="11"/>
      <c r="D2" s="11"/>
      <c r="E2" s="11"/>
      <c r="F2" s="11"/>
      <c r="G2" s="11"/>
      <c r="H2" s="121" t="s">
        <v>106</v>
      </c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3"/>
    </row>
    <row r="3" spans="1:19" x14ac:dyDescent="0.25">
      <c r="A3" t="s">
        <v>80</v>
      </c>
      <c r="B3" s="11"/>
      <c r="C3" s="11" t="s">
        <v>1</v>
      </c>
      <c r="D3" s="141" t="s">
        <v>43</v>
      </c>
      <c r="E3" s="141"/>
      <c r="F3" s="141" t="s">
        <v>44</v>
      </c>
      <c r="G3" s="141"/>
      <c r="H3" s="121" t="s">
        <v>45</v>
      </c>
      <c r="I3" s="122"/>
      <c r="J3" s="123"/>
      <c r="K3" s="121" t="s">
        <v>46</v>
      </c>
      <c r="L3" s="122"/>
      <c r="M3" s="123"/>
      <c r="N3" s="121" t="s">
        <v>47</v>
      </c>
      <c r="O3" s="122"/>
      <c r="P3" s="123"/>
      <c r="Q3" s="121" t="s">
        <v>48</v>
      </c>
      <c r="R3" s="122"/>
      <c r="S3" s="123"/>
    </row>
    <row r="4" spans="1:19" x14ac:dyDescent="0.25">
      <c r="B4" s="11" t="s">
        <v>41</v>
      </c>
      <c r="C4" s="11"/>
      <c r="D4" s="11" t="s">
        <v>3</v>
      </c>
      <c r="E4" s="11" t="s">
        <v>4</v>
      </c>
      <c r="F4" s="11" t="s">
        <v>3</v>
      </c>
      <c r="G4" s="11" t="s">
        <v>4</v>
      </c>
      <c r="H4" s="11" t="s">
        <v>49</v>
      </c>
      <c r="I4" s="11" t="s">
        <v>104</v>
      </c>
      <c r="J4" s="61" t="s">
        <v>102</v>
      </c>
      <c r="K4" s="11" t="s">
        <v>49</v>
      </c>
      <c r="L4" s="11" t="s">
        <v>104</v>
      </c>
      <c r="M4" s="61" t="s">
        <v>102</v>
      </c>
      <c r="N4" s="11" t="s">
        <v>49</v>
      </c>
      <c r="O4" s="11" t="s">
        <v>104</v>
      </c>
      <c r="P4" s="61" t="s">
        <v>102</v>
      </c>
      <c r="Q4" s="11" t="s">
        <v>49</v>
      </c>
      <c r="R4" s="11" t="s">
        <v>104</v>
      </c>
      <c r="S4" s="61" t="s">
        <v>102</v>
      </c>
    </row>
    <row r="5" spans="1:19" x14ac:dyDescent="0.25">
      <c r="B5" s="11"/>
      <c r="C5" s="11" t="s">
        <v>0</v>
      </c>
      <c r="D5" s="11" t="s">
        <v>2</v>
      </c>
      <c r="E5" s="11" t="s">
        <v>2</v>
      </c>
      <c r="F5" s="11" t="s">
        <v>2</v>
      </c>
      <c r="G5" s="11" t="s">
        <v>2</v>
      </c>
      <c r="H5" s="11" t="s">
        <v>2</v>
      </c>
      <c r="I5" s="11" t="s">
        <v>105</v>
      </c>
      <c r="J5" s="11" t="s">
        <v>103</v>
      </c>
      <c r="K5" s="11" t="s">
        <v>2</v>
      </c>
      <c r="L5" s="11" t="s">
        <v>105</v>
      </c>
      <c r="M5" s="11" t="s">
        <v>103</v>
      </c>
      <c r="N5" s="11" t="s">
        <v>2</v>
      </c>
      <c r="O5" s="11" t="s">
        <v>105</v>
      </c>
      <c r="P5" s="11" t="s">
        <v>103</v>
      </c>
      <c r="Q5" s="11" t="s">
        <v>2</v>
      </c>
      <c r="R5" s="11" t="s">
        <v>105</v>
      </c>
      <c r="S5" s="11" t="s">
        <v>103</v>
      </c>
    </row>
    <row r="6" spans="1:19" x14ac:dyDescent="0.25">
      <c r="A6" s="62" t="s">
        <v>107</v>
      </c>
      <c r="B6" s="11" t="s">
        <v>42</v>
      </c>
      <c r="C6" s="11">
        <v>1.5E-5</v>
      </c>
      <c r="D6" s="11">
        <v>16</v>
      </c>
      <c r="E6" s="11">
        <v>2</v>
      </c>
      <c r="F6" s="11">
        <v>16</v>
      </c>
      <c r="G6" s="11">
        <v>2</v>
      </c>
      <c r="H6" s="11">
        <v>110</v>
      </c>
      <c r="I6" s="11"/>
      <c r="J6" s="11">
        <v>5.5</v>
      </c>
      <c r="K6" s="11">
        <v>130</v>
      </c>
      <c r="L6" s="11"/>
      <c r="M6" s="11">
        <v>4.9000000000000004</v>
      </c>
      <c r="N6" s="11">
        <v>160</v>
      </c>
      <c r="O6" s="11"/>
      <c r="P6" s="11">
        <v>4.2</v>
      </c>
      <c r="Q6" s="11"/>
      <c r="R6" s="11"/>
      <c r="S6" s="11"/>
    </row>
    <row r="7" spans="1:19" x14ac:dyDescent="0.25">
      <c r="A7" s="62" t="s">
        <v>108</v>
      </c>
      <c r="B7" s="11" t="s">
        <v>42</v>
      </c>
      <c r="C7" s="11">
        <v>1.5E-5</v>
      </c>
      <c r="D7" s="11">
        <v>16</v>
      </c>
      <c r="E7" s="11">
        <v>2</v>
      </c>
      <c r="F7" s="11">
        <v>20</v>
      </c>
      <c r="G7" s="11">
        <v>2</v>
      </c>
      <c r="H7" s="11">
        <v>110</v>
      </c>
      <c r="I7" s="11"/>
      <c r="J7" s="64">
        <f>+(J6*62/48.5+J8*27/44.5)/2</f>
        <v>5.4873740298853235</v>
      </c>
      <c r="K7" s="11">
        <v>130</v>
      </c>
      <c r="L7" s="11"/>
      <c r="M7" s="64">
        <f>+(M6*62/48.5+M8*27/44.5)/2</f>
        <v>4.8611722460326652</v>
      </c>
      <c r="N7" s="11">
        <v>160</v>
      </c>
      <c r="O7" s="11"/>
      <c r="P7" s="64">
        <f>+(P6*62/48.5+P8*27/44.5)/2</f>
        <v>4.1407158577551257</v>
      </c>
      <c r="Q7" s="11"/>
      <c r="R7" s="11"/>
      <c r="S7" s="11"/>
    </row>
    <row r="8" spans="1:19" x14ac:dyDescent="0.25">
      <c r="A8" s="62" t="s">
        <v>109</v>
      </c>
      <c r="B8" s="11" t="s">
        <v>42</v>
      </c>
      <c r="C8" s="11">
        <v>1.5E-5</v>
      </c>
      <c r="D8" s="11">
        <v>20</v>
      </c>
      <c r="E8" s="11">
        <v>2</v>
      </c>
      <c r="F8" s="11">
        <v>20</v>
      </c>
      <c r="G8" s="11">
        <v>2</v>
      </c>
      <c r="H8" s="11">
        <v>110</v>
      </c>
      <c r="I8" s="11"/>
      <c r="J8" s="11">
        <v>6.5</v>
      </c>
      <c r="K8" s="11">
        <v>130</v>
      </c>
      <c r="L8" s="11"/>
      <c r="M8" s="11">
        <v>5.7</v>
      </c>
      <c r="N8" s="11">
        <v>160</v>
      </c>
      <c r="O8" s="11"/>
      <c r="P8" s="11">
        <v>4.8</v>
      </c>
      <c r="Q8" s="11"/>
      <c r="R8" s="11"/>
      <c r="S8" s="11"/>
    </row>
    <row r="9" spans="1:19" x14ac:dyDescent="0.25">
      <c r="A9" s="62" t="s">
        <v>110</v>
      </c>
      <c r="B9" s="11" t="s">
        <v>42</v>
      </c>
      <c r="C9" s="11">
        <v>1.5E-5</v>
      </c>
      <c r="D9" s="11">
        <v>20</v>
      </c>
      <c r="E9" s="11">
        <v>2</v>
      </c>
      <c r="F9" s="11">
        <v>25</v>
      </c>
      <c r="G9" s="11">
        <v>2.5</v>
      </c>
      <c r="H9" s="11">
        <v>110</v>
      </c>
      <c r="I9" s="11"/>
      <c r="J9" s="64">
        <f>+(J8*62/48.5+J10*27/44.5)/2</f>
        <v>6.6422796246959344</v>
      </c>
      <c r="K9" s="11">
        <v>130</v>
      </c>
      <c r="L9" s="11"/>
      <c r="M9" s="64">
        <f>+(M8*62/48.5+M10*27/44.5)/2</f>
        <v>5.706220317386772</v>
      </c>
      <c r="N9" s="11">
        <v>160</v>
      </c>
      <c r="O9" s="11"/>
      <c r="P9" s="64">
        <f>+(P8*62/48.5+P10*27/44.5)/2</f>
        <v>4.7669176416077832</v>
      </c>
      <c r="Q9" s="11"/>
      <c r="R9" s="11"/>
      <c r="S9" s="11"/>
    </row>
    <row r="10" spans="1:19" x14ac:dyDescent="0.25">
      <c r="A10" s="62" t="s">
        <v>111</v>
      </c>
      <c r="B10" s="11" t="s">
        <v>42</v>
      </c>
      <c r="C10" s="11">
        <v>1.5E-5</v>
      </c>
      <c r="D10" s="11">
        <v>25</v>
      </c>
      <c r="E10" s="11">
        <v>2.5</v>
      </c>
      <c r="F10" s="11">
        <v>25</v>
      </c>
      <c r="G10" s="11">
        <v>2.5</v>
      </c>
      <c r="H10" s="11">
        <v>110</v>
      </c>
      <c r="I10" s="11"/>
      <c r="J10" s="11">
        <v>8.1999999999999993</v>
      </c>
      <c r="K10" s="11">
        <v>130</v>
      </c>
      <c r="L10" s="11"/>
      <c r="M10" s="11">
        <v>6.8</v>
      </c>
      <c r="N10" s="11">
        <v>160</v>
      </c>
      <c r="O10" s="11"/>
      <c r="P10" s="11">
        <v>5.6</v>
      </c>
      <c r="Q10" s="11"/>
      <c r="R10" s="11"/>
      <c r="S10" s="11"/>
    </row>
    <row r="11" spans="1:19" x14ac:dyDescent="0.25">
      <c r="A11" s="62" t="s">
        <v>112</v>
      </c>
      <c r="B11" s="11" t="s">
        <v>42</v>
      </c>
      <c r="C11" s="11">
        <v>1.5E-5</v>
      </c>
      <c r="D11" s="11">
        <v>25</v>
      </c>
      <c r="E11" s="11">
        <v>2.5</v>
      </c>
      <c r="F11" s="11">
        <v>32</v>
      </c>
      <c r="G11" s="11">
        <v>3</v>
      </c>
      <c r="H11" s="11">
        <v>110</v>
      </c>
      <c r="I11" s="11"/>
      <c r="J11" s="64">
        <f>+(J10*62/48.5+J12*27/44.5)/2</f>
        <v>7.9109000347503766</v>
      </c>
      <c r="K11" s="11">
        <v>130</v>
      </c>
      <c r="L11" s="11"/>
      <c r="M11" s="64">
        <f>+(M10*62/48.5+M12*27/44.5)/2</f>
        <v>6.4396501795436114</v>
      </c>
      <c r="N11" s="11">
        <v>160</v>
      </c>
      <c r="O11" s="11"/>
      <c r="P11" s="64">
        <f>+(P10*62/48.5+P12*27/44.5)/2</f>
        <v>5.3389320050967211</v>
      </c>
      <c r="Q11" s="11"/>
      <c r="R11" s="11"/>
      <c r="S11" s="11"/>
    </row>
    <row r="12" spans="1:19" x14ac:dyDescent="0.25">
      <c r="A12" s="62" t="s">
        <v>113</v>
      </c>
      <c r="B12" s="11" t="s">
        <v>42</v>
      </c>
      <c r="C12" s="11">
        <v>1.5E-5</v>
      </c>
      <c r="D12" s="11">
        <v>32</v>
      </c>
      <c r="E12" s="11">
        <v>3</v>
      </c>
      <c r="F12" s="11">
        <v>32</v>
      </c>
      <c r="G12" s="11">
        <v>3</v>
      </c>
      <c r="H12" s="11">
        <v>130</v>
      </c>
      <c r="I12" s="11"/>
      <c r="J12" s="11">
        <v>8.8000000000000007</v>
      </c>
      <c r="K12" s="11">
        <v>160</v>
      </c>
      <c r="L12" s="11"/>
      <c r="M12" s="11">
        <v>6.9</v>
      </c>
      <c r="N12" s="11">
        <v>200</v>
      </c>
      <c r="O12" s="11"/>
      <c r="P12" s="11">
        <v>5.8</v>
      </c>
      <c r="Q12" s="11"/>
      <c r="R12" s="11"/>
      <c r="S12" s="11"/>
    </row>
    <row r="13" spans="1:19" x14ac:dyDescent="0.25">
      <c r="A13" s="62" t="s">
        <v>114</v>
      </c>
      <c r="B13" s="11" t="s">
        <v>42</v>
      </c>
      <c r="C13" s="11">
        <v>1.5E-5</v>
      </c>
      <c r="D13" s="11">
        <v>32</v>
      </c>
      <c r="E13" s="11">
        <v>3</v>
      </c>
      <c r="F13" s="11">
        <v>40</v>
      </c>
      <c r="G13" s="11">
        <v>3.6</v>
      </c>
      <c r="H13" s="11">
        <v>130</v>
      </c>
      <c r="I13" s="11"/>
      <c r="J13" s="64">
        <f>+(J12*62/48.5+J14*27/44.5)/2</f>
        <v>9.7202478860187647</v>
      </c>
      <c r="K13" s="11">
        <v>160</v>
      </c>
      <c r="L13" s="11"/>
      <c r="M13" s="64">
        <f>+(M12*62/48.5+M14*27/44.5)/2</f>
        <v>7.2013205143055714</v>
      </c>
      <c r="N13" s="11">
        <v>200</v>
      </c>
      <c r="O13" s="11"/>
      <c r="P13" s="64">
        <f>+(P12*62/48.5+P14*27/44.5)/2</f>
        <v>5.8308120004633377</v>
      </c>
      <c r="Q13" s="11"/>
      <c r="R13" s="11"/>
      <c r="S13" s="11"/>
    </row>
    <row r="14" spans="1:19" x14ac:dyDescent="0.25">
      <c r="A14" s="62" t="s">
        <v>115</v>
      </c>
      <c r="B14" s="11" t="s">
        <v>42</v>
      </c>
      <c r="C14" s="11">
        <v>1.5E-5</v>
      </c>
      <c r="D14" s="11">
        <v>40</v>
      </c>
      <c r="E14" s="11">
        <v>3.6</v>
      </c>
      <c r="F14" s="11">
        <v>40</v>
      </c>
      <c r="G14" s="11">
        <v>3.6</v>
      </c>
      <c r="H14" s="11">
        <v>130</v>
      </c>
      <c r="I14" s="11"/>
      <c r="J14" s="11">
        <v>13.5</v>
      </c>
      <c r="K14" s="11">
        <v>160</v>
      </c>
      <c r="L14" s="11"/>
      <c r="M14" s="11">
        <v>9.1999999999999993</v>
      </c>
      <c r="N14" s="11">
        <v>200</v>
      </c>
      <c r="O14" s="11"/>
      <c r="P14" s="11">
        <v>7</v>
      </c>
      <c r="Q14" s="11"/>
      <c r="R14" s="11"/>
      <c r="S14" s="11"/>
    </row>
    <row r="15" spans="1:19" x14ac:dyDescent="0.25">
      <c r="A15" s="62" t="s">
        <v>81</v>
      </c>
      <c r="B15" s="11" t="s">
        <v>50</v>
      </c>
      <c r="C15" s="11">
        <v>3.0000000000000001E-5</v>
      </c>
      <c r="D15" s="12">
        <v>26.9</v>
      </c>
      <c r="E15" s="12">
        <v>2.2999999999999998</v>
      </c>
      <c r="F15" s="11">
        <v>26.9</v>
      </c>
      <c r="G15" s="11">
        <v>2.2999999999999998</v>
      </c>
      <c r="H15" s="11">
        <v>125</v>
      </c>
      <c r="I15" s="11"/>
      <c r="J15" s="11">
        <v>8.8000000000000007</v>
      </c>
      <c r="K15" s="11">
        <v>140</v>
      </c>
      <c r="L15" s="11"/>
      <c r="M15" s="11">
        <v>7.7</v>
      </c>
      <c r="N15" s="11">
        <v>160</v>
      </c>
      <c r="O15" s="11"/>
      <c r="P15" s="11">
        <v>7</v>
      </c>
      <c r="Q15" s="11"/>
      <c r="R15" s="11"/>
      <c r="S15" s="11"/>
    </row>
    <row r="16" spans="1:19" x14ac:dyDescent="0.25">
      <c r="A16" s="62" t="s">
        <v>82</v>
      </c>
      <c r="B16" s="11" t="s">
        <v>50</v>
      </c>
      <c r="C16" s="11">
        <v>3.0000000000000001E-5</v>
      </c>
      <c r="D16" s="11">
        <v>26.9</v>
      </c>
      <c r="E16" s="11">
        <v>2.6</v>
      </c>
      <c r="F16" s="11">
        <v>33.700000000000003</v>
      </c>
      <c r="G16" s="11">
        <v>2.6</v>
      </c>
      <c r="H16" s="11">
        <v>140</v>
      </c>
      <c r="I16" s="11"/>
      <c r="J16" s="64">
        <v>8.25</v>
      </c>
      <c r="K16" s="11">
        <v>160</v>
      </c>
      <c r="L16" s="11"/>
      <c r="M16" s="64">
        <v>7.06</v>
      </c>
      <c r="N16" s="11">
        <v>180</v>
      </c>
      <c r="O16" s="11"/>
      <c r="P16" s="64">
        <v>6.33</v>
      </c>
      <c r="Q16" s="11"/>
      <c r="R16" s="11"/>
      <c r="S16" s="11"/>
    </row>
    <row r="17" spans="1:19" x14ac:dyDescent="0.25">
      <c r="A17" s="62" t="s">
        <v>83</v>
      </c>
      <c r="B17" s="11" t="s">
        <v>50</v>
      </c>
      <c r="C17" s="11">
        <v>3.0000000000000001E-5</v>
      </c>
      <c r="D17" s="11">
        <v>33.700000000000003</v>
      </c>
      <c r="E17" s="11">
        <v>2.6</v>
      </c>
      <c r="F17" s="11">
        <v>33.700000000000003</v>
      </c>
      <c r="G17" s="11">
        <v>2.6</v>
      </c>
      <c r="H17" s="11">
        <v>140</v>
      </c>
      <c r="I17" s="11"/>
      <c r="J17" s="11">
        <v>9.5</v>
      </c>
      <c r="K17" s="11">
        <v>160</v>
      </c>
      <c r="L17" s="11"/>
      <c r="M17" s="11">
        <v>8.1</v>
      </c>
      <c r="N17" s="11">
        <v>180</v>
      </c>
      <c r="O17" s="11"/>
      <c r="P17" s="11">
        <v>7.5</v>
      </c>
      <c r="Q17" s="11"/>
      <c r="R17" s="11"/>
      <c r="S17" s="11"/>
    </row>
    <row r="18" spans="1:19" x14ac:dyDescent="0.25">
      <c r="A18" s="62" t="s">
        <v>84</v>
      </c>
      <c r="B18" s="11" t="s">
        <v>50</v>
      </c>
      <c r="C18" s="11">
        <v>3.0000000000000001E-5</v>
      </c>
      <c r="D18" s="11">
        <v>33.700000000000003</v>
      </c>
      <c r="E18" s="11">
        <v>2.6</v>
      </c>
      <c r="F18" s="11">
        <v>42.4</v>
      </c>
      <c r="G18" s="11">
        <v>2.6</v>
      </c>
      <c r="H18" s="11">
        <v>160</v>
      </c>
      <c r="I18" s="11"/>
      <c r="J18" s="64">
        <v>8.77</v>
      </c>
      <c r="K18" s="11">
        <v>180</v>
      </c>
      <c r="L18" s="11"/>
      <c r="M18" s="64">
        <v>7.62</v>
      </c>
      <c r="N18" s="11">
        <v>200</v>
      </c>
      <c r="O18" s="11"/>
      <c r="P18" s="64">
        <v>6.82</v>
      </c>
      <c r="Q18" s="11"/>
      <c r="R18" s="11"/>
      <c r="S18" s="11"/>
    </row>
    <row r="19" spans="1:19" x14ac:dyDescent="0.25">
      <c r="A19" s="62" t="s">
        <v>85</v>
      </c>
      <c r="B19" s="11" t="s">
        <v>50</v>
      </c>
      <c r="C19" s="11">
        <v>3.0000000000000001E-5</v>
      </c>
      <c r="D19" s="11">
        <v>42.4</v>
      </c>
      <c r="E19" s="11">
        <v>2.6</v>
      </c>
      <c r="F19" s="11">
        <v>42.4</v>
      </c>
      <c r="G19" s="11">
        <v>2.6</v>
      </c>
      <c r="H19" s="11">
        <v>160</v>
      </c>
      <c r="I19" s="11"/>
      <c r="J19" s="11">
        <v>10.3</v>
      </c>
      <c r="K19" s="11">
        <v>180</v>
      </c>
      <c r="L19" s="11"/>
      <c r="M19" s="11">
        <v>8.8000000000000007</v>
      </c>
      <c r="N19" s="11">
        <v>200</v>
      </c>
      <c r="O19" s="11"/>
      <c r="P19" s="11">
        <v>8.1999999999999993</v>
      </c>
      <c r="Q19" s="11"/>
      <c r="R19" s="11"/>
      <c r="S19" s="11"/>
    </row>
    <row r="20" spans="1:19" x14ac:dyDescent="0.25">
      <c r="A20" s="62" t="s">
        <v>86</v>
      </c>
      <c r="B20" s="11" t="s">
        <v>50</v>
      </c>
      <c r="C20" s="11">
        <v>3.0000000000000001E-5</v>
      </c>
      <c r="D20" s="11">
        <v>42.4</v>
      </c>
      <c r="E20" s="11">
        <v>2.6</v>
      </c>
      <c r="F20" s="11">
        <v>48.3</v>
      </c>
      <c r="G20" s="11">
        <v>2.6</v>
      </c>
      <c r="H20" s="11">
        <v>160</v>
      </c>
      <c r="I20" s="11"/>
      <c r="J20" s="64">
        <v>11</v>
      </c>
      <c r="K20" s="11">
        <v>180</v>
      </c>
      <c r="L20" s="11"/>
      <c r="M20" s="97">
        <v>10.3</v>
      </c>
      <c r="N20" s="11">
        <v>200</v>
      </c>
      <c r="O20" s="11"/>
      <c r="P20" s="64">
        <v>8.1300000000000008</v>
      </c>
      <c r="Q20" s="11"/>
      <c r="R20" s="11"/>
      <c r="S20" s="11"/>
    </row>
    <row r="21" spans="1:19" x14ac:dyDescent="0.25">
      <c r="A21" s="62" t="s">
        <v>87</v>
      </c>
      <c r="B21" s="11" t="s">
        <v>50</v>
      </c>
      <c r="C21" s="11">
        <v>3.0000000000000001E-5</v>
      </c>
      <c r="D21" s="11">
        <v>48.3</v>
      </c>
      <c r="E21" s="11">
        <v>2.6</v>
      </c>
      <c r="F21" s="11">
        <v>48.3</v>
      </c>
      <c r="G21" s="11">
        <v>2.6</v>
      </c>
      <c r="H21" s="11">
        <v>160</v>
      </c>
      <c r="I21" s="11"/>
      <c r="J21" s="11">
        <v>12.6</v>
      </c>
      <c r="K21" s="11">
        <v>180</v>
      </c>
      <c r="L21" s="11"/>
      <c r="M21" s="98">
        <v>9.26</v>
      </c>
      <c r="N21" s="11">
        <v>200</v>
      </c>
      <c r="O21" s="11"/>
      <c r="P21" s="11">
        <v>9.4</v>
      </c>
      <c r="Q21" s="11"/>
      <c r="R21" s="11"/>
      <c r="S21" s="11"/>
    </row>
    <row r="22" spans="1:19" x14ac:dyDescent="0.25">
      <c r="A22" s="62" t="s">
        <v>88</v>
      </c>
      <c r="B22" s="11" t="s">
        <v>50</v>
      </c>
      <c r="C22" s="11">
        <v>3.0000000000000001E-5</v>
      </c>
      <c r="D22" s="11">
        <v>48.3</v>
      </c>
      <c r="E22" s="11">
        <v>2.6</v>
      </c>
      <c r="F22" s="11">
        <v>60.3</v>
      </c>
      <c r="G22" s="11">
        <v>2.9</v>
      </c>
      <c r="H22" s="11">
        <v>200</v>
      </c>
      <c r="I22" s="11"/>
      <c r="J22" s="64">
        <v>9.81</v>
      </c>
      <c r="K22" s="11">
        <v>225</v>
      </c>
      <c r="L22" s="11"/>
      <c r="M22" s="64">
        <v>8.3699999999999992</v>
      </c>
      <c r="N22" s="11">
        <v>250</v>
      </c>
      <c r="O22" s="11"/>
      <c r="P22" s="64">
        <v>7.49</v>
      </c>
      <c r="Q22" s="11"/>
      <c r="R22" s="11"/>
      <c r="S22" s="11"/>
    </row>
    <row r="23" spans="1:19" x14ac:dyDescent="0.25">
      <c r="A23" s="62" t="s">
        <v>89</v>
      </c>
      <c r="B23" s="11" t="s">
        <v>50</v>
      </c>
      <c r="C23" s="11">
        <v>3.0000000000000001E-5</v>
      </c>
      <c r="D23" s="11">
        <v>60.3</v>
      </c>
      <c r="E23" s="11">
        <v>2.9</v>
      </c>
      <c r="F23" s="11">
        <v>60.3</v>
      </c>
      <c r="G23" s="11">
        <v>2.9</v>
      </c>
      <c r="H23" s="11">
        <v>200</v>
      </c>
      <c r="I23" s="11"/>
      <c r="J23" s="11">
        <v>11.9</v>
      </c>
      <c r="K23" s="11">
        <v>225</v>
      </c>
      <c r="L23" s="11"/>
      <c r="M23" s="11">
        <v>9.9</v>
      </c>
      <c r="N23" s="11">
        <v>250</v>
      </c>
      <c r="O23" s="11"/>
      <c r="P23" s="11">
        <v>9.1</v>
      </c>
      <c r="Q23" s="11"/>
      <c r="R23" s="11"/>
      <c r="S23" s="11"/>
    </row>
    <row r="24" spans="1:19" x14ac:dyDescent="0.25">
      <c r="A24" s="62" t="s">
        <v>90</v>
      </c>
      <c r="B24" s="11" t="s">
        <v>50</v>
      </c>
      <c r="C24" s="11">
        <v>3.0000000000000001E-5</v>
      </c>
      <c r="D24" s="11">
        <v>60.3</v>
      </c>
      <c r="E24" s="11">
        <v>2.9</v>
      </c>
      <c r="F24" s="11">
        <v>76.099999999999994</v>
      </c>
      <c r="G24" s="11">
        <v>2.9</v>
      </c>
      <c r="H24" s="11">
        <v>225</v>
      </c>
      <c r="I24" s="11"/>
      <c r="J24" s="64">
        <v>11.23</v>
      </c>
      <c r="K24" s="11">
        <v>250</v>
      </c>
      <c r="L24" s="11"/>
      <c r="M24" s="64">
        <v>9.5399999999999991</v>
      </c>
      <c r="N24" s="11">
        <v>280</v>
      </c>
      <c r="O24" s="11"/>
      <c r="P24" s="64">
        <v>8.27</v>
      </c>
      <c r="Q24" s="11"/>
      <c r="R24" s="11"/>
      <c r="S24" s="11"/>
    </row>
    <row r="25" spans="1:19" x14ac:dyDescent="0.25">
      <c r="A25" s="62" t="s">
        <v>91</v>
      </c>
      <c r="B25" s="11" t="s">
        <v>50</v>
      </c>
      <c r="C25" s="11">
        <v>3.0000000000000001E-5</v>
      </c>
      <c r="D25" s="11">
        <v>76.099999999999994</v>
      </c>
      <c r="E25" s="11">
        <v>2.9</v>
      </c>
      <c r="F25" s="11">
        <v>76.099999999999994</v>
      </c>
      <c r="G25" s="11">
        <v>2.9</v>
      </c>
      <c r="H25" s="11">
        <v>225</v>
      </c>
      <c r="I25" s="11"/>
      <c r="J25" s="11">
        <v>14.3</v>
      </c>
      <c r="K25" s="11">
        <v>250</v>
      </c>
      <c r="L25" s="11"/>
      <c r="M25" s="11">
        <v>11.7</v>
      </c>
      <c r="N25" s="11">
        <v>280</v>
      </c>
      <c r="O25" s="11"/>
      <c r="P25" s="11">
        <v>10.3</v>
      </c>
      <c r="Q25" s="11"/>
      <c r="R25" s="11"/>
      <c r="S25" s="11"/>
    </row>
    <row r="26" spans="1:19" x14ac:dyDescent="0.25">
      <c r="A26" s="62" t="s">
        <v>92</v>
      </c>
      <c r="B26" s="11" t="s">
        <v>50</v>
      </c>
      <c r="C26" s="11">
        <v>3.0000000000000001E-5</v>
      </c>
      <c r="D26" s="11">
        <v>76.099999999999994</v>
      </c>
      <c r="E26" s="11">
        <v>2.9</v>
      </c>
      <c r="F26" s="11">
        <v>88.9</v>
      </c>
      <c r="G26" s="11">
        <v>3.2</v>
      </c>
      <c r="H26" s="11">
        <v>250</v>
      </c>
      <c r="I26" s="11"/>
      <c r="J26" s="64">
        <v>13.19</v>
      </c>
      <c r="K26" s="11">
        <v>280</v>
      </c>
      <c r="L26" s="11"/>
      <c r="M26" s="64">
        <v>10.71</v>
      </c>
      <c r="N26" s="11">
        <v>315</v>
      </c>
      <c r="O26" s="11"/>
      <c r="P26" s="64">
        <v>9.01</v>
      </c>
      <c r="Q26" s="11"/>
      <c r="R26" s="11"/>
      <c r="S26" s="11"/>
    </row>
    <row r="27" spans="1:19" x14ac:dyDescent="0.25">
      <c r="A27" s="62" t="s">
        <v>93</v>
      </c>
      <c r="B27" s="11" t="s">
        <v>50</v>
      </c>
      <c r="C27" s="11">
        <v>3.0000000000000001E-5</v>
      </c>
      <c r="D27" s="11">
        <v>88.9</v>
      </c>
      <c r="E27" s="11">
        <v>3.2</v>
      </c>
      <c r="F27" s="11">
        <v>88.9</v>
      </c>
      <c r="G27" s="11">
        <v>3.2</v>
      </c>
      <c r="H27" s="11">
        <v>250</v>
      </c>
      <c r="I27" s="11"/>
      <c r="J27" s="11">
        <v>16.600000000000001</v>
      </c>
      <c r="K27" s="11">
        <v>280</v>
      </c>
      <c r="L27" s="11"/>
      <c r="M27" s="11">
        <v>12.8</v>
      </c>
      <c r="N27" s="11">
        <v>315</v>
      </c>
      <c r="O27" s="11"/>
      <c r="P27" s="11">
        <v>10.9</v>
      </c>
      <c r="Q27" s="11"/>
      <c r="R27" s="11"/>
      <c r="S27" s="11"/>
    </row>
    <row r="28" spans="1:19" x14ac:dyDescent="0.25">
      <c r="A28" s="62" t="s">
        <v>94</v>
      </c>
      <c r="B28" s="11" t="s">
        <v>50</v>
      </c>
      <c r="C28" s="11">
        <v>3.0000000000000001E-5</v>
      </c>
      <c r="D28" s="11">
        <v>88.9</v>
      </c>
      <c r="E28" s="11">
        <v>3.2</v>
      </c>
      <c r="F28" s="11">
        <v>114.3</v>
      </c>
      <c r="G28" s="11">
        <v>3.6</v>
      </c>
      <c r="H28" s="11">
        <v>315</v>
      </c>
      <c r="I28" s="11"/>
      <c r="J28" s="64">
        <v>12.22</v>
      </c>
      <c r="K28" s="11">
        <v>355</v>
      </c>
      <c r="L28" s="11"/>
      <c r="M28" s="64">
        <v>9.9499999999999993</v>
      </c>
      <c r="N28" s="11">
        <v>400</v>
      </c>
      <c r="O28" s="11"/>
      <c r="P28" s="64">
        <v>8.4600000000000009</v>
      </c>
      <c r="Q28" s="11"/>
      <c r="R28" s="11"/>
      <c r="S28" s="11"/>
    </row>
    <row r="29" spans="1:19" x14ac:dyDescent="0.25">
      <c r="A29" s="62" t="s">
        <v>95</v>
      </c>
      <c r="B29" s="11" t="s">
        <v>50</v>
      </c>
      <c r="C29" s="11">
        <v>3.0000000000000001E-5</v>
      </c>
      <c r="D29" s="11">
        <v>114.3</v>
      </c>
      <c r="E29" s="11">
        <v>3.6</v>
      </c>
      <c r="F29" s="11">
        <v>114.3</v>
      </c>
      <c r="G29" s="11">
        <v>3.6</v>
      </c>
      <c r="H29" s="11">
        <v>315</v>
      </c>
      <c r="I29" s="11"/>
      <c r="J29" s="11">
        <v>16.399999999999999</v>
      </c>
      <c r="K29" s="11">
        <v>355</v>
      </c>
      <c r="L29" s="11"/>
      <c r="M29" s="11">
        <v>12.6</v>
      </c>
      <c r="N29" s="11">
        <v>400</v>
      </c>
      <c r="O29" s="11"/>
      <c r="P29" s="11">
        <v>10.8</v>
      </c>
      <c r="Q29" s="11"/>
      <c r="R29" s="11"/>
      <c r="S29" s="11"/>
    </row>
    <row r="30" spans="1:19" x14ac:dyDescent="0.25">
      <c r="A30" s="62" t="s">
        <v>96</v>
      </c>
      <c r="B30" s="11" t="s">
        <v>50</v>
      </c>
      <c r="C30" s="11">
        <v>3.0000000000000001E-5</v>
      </c>
      <c r="D30" s="11">
        <v>114.3</v>
      </c>
      <c r="E30" s="11">
        <v>3.6</v>
      </c>
      <c r="F30" s="11">
        <v>139.69999999999999</v>
      </c>
      <c r="G30" s="11">
        <v>3.6</v>
      </c>
      <c r="H30" s="11">
        <v>400</v>
      </c>
      <c r="I30" s="11"/>
      <c r="J30" s="64">
        <v>11.87</v>
      </c>
      <c r="K30" s="11">
        <v>450</v>
      </c>
      <c r="L30" s="11"/>
      <c r="M30" s="64">
        <v>9.76</v>
      </c>
      <c r="N30" s="11">
        <v>500</v>
      </c>
      <c r="O30" s="11"/>
      <c r="P30" s="64">
        <v>8.4600000000000009</v>
      </c>
      <c r="Q30" s="11"/>
      <c r="R30" s="11"/>
      <c r="S30" s="11"/>
    </row>
    <row r="31" spans="1:19" x14ac:dyDescent="0.25">
      <c r="A31" s="62" t="s">
        <v>97</v>
      </c>
      <c r="B31" s="11" t="s">
        <v>50</v>
      </c>
      <c r="C31" s="11">
        <v>3.0000000000000001E-5</v>
      </c>
      <c r="D31" s="11">
        <v>139.69999999999999</v>
      </c>
      <c r="E31" s="11">
        <v>3.6</v>
      </c>
      <c r="F31" s="11">
        <v>139.69999999999999</v>
      </c>
      <c r="G31" s="11">
        <v>3.6</v>
      </c>
      <c r="H31" s="11">
        <v>400</v>
      </c>
      <c r="I31" s="11"/>
      <c r="J31" s="11">
        <v>15.7</v>
      </c>
      <c r="K31" s="11">
        <v>450</v>
      </c>
      <c r="L31" s="11"/>
      <c r="M31" s="11">
        <v>12.2</v>
      </c>
      <c r="N31" s="11">
        <v>500</v>
      </c>
      <c r="O31" s="11"/>
      <c r="P31" s="11">
        <v>10.7</v>
      </c>
      <c r="Q31" s="11"/>
      <c r="R31" s="11"/>
      <c r="S31" s="11"/>
    </row>
    <row r="32" spans="1:19" x14ac:dyDescent="0.25">
      <c r="A32" s="62" t="s">
        <v>98</v>
      </c>
      <c r="B32" s="11" t="s">
        <v>50</v>
      </c>
      <c r="C32" s="11">
        <v>3.0000000000000001E-5</v>
      </c>
      <c r="D32" s="11">
        <v>139.69999999999999</v>
      </c>
      <c r="E32" s="11">
        <v>3.6</v>
      </c>
      <c r="F32" s="11">
        <v>168.3</v>
      </c>
      <c r="G32" s="11">
        <v>4</v>
      </c>
      <c r="H32" s="11">
        <v>450</v>
      </c>
      <c r="I32" s="11"/>
      <c r="J32" s="64">
        <v>14.05</v>
      </c>
      <c r="K32" s="11">
        <v>500</v>
      </c>
      <c r="L32" s="11"/>
      <c r="M32" s="64">
        <v>11.32</v>
      </c>
      <c r="N32" s="11">
        <v>560</v>
      </c>
      <c r="O32" s="11"/>
      <c r="P32" s="64">
        <v>9.43</v>
      </c>
      <c r="Q32" s="11"/>
      <c r="R32" s="11"/>
      <c r="S32" s="11"/>
    </row>
    <row r="33" spans="1:19" x14ac:dyDescent="0.25">
      <c r="A33" s="62" t="s">
        <v>99</v>
      </c>
      <c r="B33" s="11" t="s">
        <v>50</v>
      </c>
      <c r="C33" s="11">
        <v>3.0000000000000001E-5</v>
      </c>
      <c r="D33" s="11">
        <v>168.3</v>
      </c>
      <c r="E33" s="11">
        <v>4</v>
      </c>
      <c r="F33" s="11">
        <v>168.3</v>
      </c>
      <c r="G33" s="11">
        <v>4</v>
      </c>
      <c r="H33" s="11">
        <v>450</v>
      </c>
      <c r="I33" s="11"/>
      <c r="J33" s="11">
        <v>18.3</v>
      </c>
      <c r="K33" s="11">
        <v>500</v>
      </c>
      <c r="L33" s="11"/>
      <c r="M33" s="11">
        <v>13.9</v>
      </c>
      <c r="N33" s="11">
        <v>560</v>
      </c>
      <c r="O33" s="11"/>
      <c r="P33" s="11">
        <v>11.7</v>
      </c>
      <c r="Q33" s="11"/>
      <c r="R33" s="11"/>
      <c r="S33" s="11"/>
    </row>
    <row r="34" spans="1:19" x14ac:dyDescent="0.25">
      <c r="A34" s="62" t="s">
        <v>100</v>
      </c>
      <c r="B34" s="11" t="s">
        <v>50</v>
      </c>
      <c r="C34" s="11">
        <v>3.0000000000000001E-5</v>
      </c>
      <c r="D34" s="11">
        <v>168.3</v>
      </c>
      <c r="E34" s="11">
        <v>4</v>
      </c>
      <c r="F34" s="11">
        <v>219.1</v>
      </c>
      <c r="G34" s="11">
        <v>4.5</v>
      </c>
      <c r="H34" s="11">
        <v>560</v>
      </c>
      <c r="I34" s="11"/>
      <c r="J34" s="64">
        <v>13.92</v>
      </c>
      <c r="K34" s="11">
        <v>630</v>
      </c>
      <c r="L34" s="11"/>
      <c r="M34" s="64">
        <v>10.91</v>
      </c>
      <c r="N34" s="11">
        <v>710</v>
      </c>
      <c r="O34" s="11"/>
      <c r="P34" s="64">
        <v>9.1</v>
      </c>
      <c r="Q34" s="11"/>
      <c r="R34" s="11"/>
      <c r="S34" s="11"/>
    </row>
    <row r="35" spans="1:19" x14ac:dyDescent="0.25">
      <c r="A35" s="62" t="s">
        <v>101</v>
      </c>
      <c r="B35" s="11" t="s">
        <v>50</v>
      </c>
      <c r="C35" s="11">
        <v>3.0000000000000001E-5</v>
      </c>
      <c r="D35" s="11">
        <v>219.1</v>
      </c>
      <c r="E35" s="11">
        <v>4.5</v>
      </c>
      <c r="F35" s="11">
        <v>219.1</v>
      </c>
      <c r="G35" s="11">
        <v>4.5</v>
      </c>
      <c r="H35" s="11">
        <v>560</v>
      </c>
      <c r="I35" s="11"/>
      <c r="J35" s="11">
        <v>20.399999999999999</v>
      </c>
      <c r="K35" s="11">
        <v>630</v>
      </c>
      <c r="L35" s="11"/>
      <c r="M35" s="11">
        <v>14.6</v>
      </c>
      <c r="N35" s="11">
        <v>710</v>
      </c>
      <c r="O35" s="11"/>
      <c r="P35" s="11">
        <v>12.1</v>
      </c>
      <c r="Q35" s="11"/>
      <c r="R35" s="11"/>
      <c r="S35" s="11"/>
    </row>
    <row r="36" spans="1:19" x14ac:dyDescent="0.25">
      <c r="A36" s="62"/>
      <c r="B36" s="11"/>
      <c r="C36" s="11"/>
      <c r="D36" s="11"/>
      <c r="E36" s="11"/>
      <c r="F36" s="11"/>
      <c r="G36" s="11"/>
      <c r="H36" s="11"/>
      <c r="I36" s="11"/>
      <c r="J36" s="64"/>
      <c r="K36" s="11"/>
      <c r="L36" s="11"/>
      <c r="M36" s="64"/>
      <c r="N36" s="11"/>
      <c r="O36" s="11"/>
      <c r="P36" s="64"/>
      <c r="Q36" s="11"/>
      <c r="R36" s="11"/>
      <c r="S36" s="11"/>
    </row>
    <row r="37" spans="1:19" x14ac:dyDescent="0.25">
      <c r="A37" s="62"/>
      <c r="B37" s="11"/>
      <c r="C37" s="11"/>
      <c r="D37" s="11"/>
      <c r="E37" s="11"/>
      <c r="F37" s="11"/>
      <c r="G37" s="11"/>
      <c r="H37" s="11"/>
      <c r="I37" s="11"/>
      <c r="J37" s="63"/>
      <c r="K37" s="11"/>
      <c r="L37" s="11"/>
      <c r="M37" s="63"/>
      <c r="N37" s="11"/>
      <c r="O37" s="11"/>
      <c r="P37" s="63"/>
      <c r="Q37" s="11"/>
      <c r="R37" s="11"/>
      <c r="S37" s="11"/>
    </row>
    <row r="39" spans="1:19" x14ac:dyDescent="0.25">
      <c r="J39" s="65" t="s">
        <v>116</v>
      </c>
      <c r="K39" s="65" t="s">
        <v>117</v>
      </c>
      <c r="L39" s="65"/>
      <c r="M39" s="65"/>
      <c r="N39" s="65"/>
    </row>
  </sheetData>
  <mergeCells count="7">
    <mergeCell ref="D3:E3"/>
    <mergeCell ref="F3:G3"/>
    <mergeCell ref="H2:S2"/>
    <mergeCell ref="H3:J3"/>
    <mergeCell ref="K3:M3"/>
    <mergeCell ref="Q3:S3"/>
    <mergeCell ref="N3:P3"/>
  </mergeCells>
  <dataValidations count="1">
    <dataValidation type="list" allowBlank="1" showInputMessage="1" showErrorMessage="1" sqref="A6">
      <formula1>Dimensioner</formula1>
    </dataValidation>
  </dataValidations>
  <pageMargins left="0.25" right="0.25" top="0.75" bottom="0.75" header="0.3" footer="0.3"/>
  <pageSetup paperSize="9" scale="82" fitToHeight="0" orientation="landscape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2</vt:i4>
      </vt:variant>
      <vt:variant>
        <vt:lpstr>Navngivne områder</vt:lpstr>
      </vt:variant>
      <vt:variant>
        <vt:i4>2</vt:i4>
      </vt:variant>
    </vt:vector>
  </HeadingPairs>
  <TitlesOfParts>
    <vt:vector size="4" baseType="lpstr">
      <vt:lpstr>Beregningsark</vt:lpstr>
      <vt:lpstr>Dimensionsoversigt</vt:lpstr>
      <vt:lpstr>Dimensioner</vt:lpstr>
      <vt:lpstr>Beregningsark!Udskriftsområde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Rasmussen</dc:creator>
  <cp:lastModifiedBy>Jan</cp:lastModifiedBy>
  <cp:lastPrinted>2015-03-12T13:21:56Z</cp:lastPrinted>
  <dcterms:created xsi:type="dcterms:W3CDTF">2015-01-05T13:20:44Z</dcterms:created>
  <dcterms:modified xsi:type="dcterms:W3CDTF">2018-07-30T11:26:24Z</dcterms:modified>
</cp:coreProperties>
</file>